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ssumptions" sheetId="2" state="visible" r:id="rId4"/>
    <sheet name="Cash Flow" sheetId="3" state="visible" r:id="rId5"/>
    <sheet name="Returns" sheetId="4" state="visible" r:id="rId6"/>
    <sheet name="Waterfall" sheetId="5" state="visible" r:id="rId7"/>
    <sheet name="Sensitivit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<sst xmlns="http://schemas.openxmlformats.org/spreadsheetml/2006/main" count="305" uniqueCount="279">
  <si>
    <t xml:space="preserve">GENERIC INCOME PROPERTY  —  PRO FORMA TEMPLATE</t>
  </si>
  <si>
    <t xml:space="preserve">Barnes Advisory  |  Transaction analysis template</t>
  </si>
  <si>
    <t xml:space="preserve">HOW TO USE</t>
  </si>
  <si>
    <t xml:space="preserve">1. Assumptions</t>
  </si>
  <si>
    <t xml:space="preserve">Every input lives on the Assumptions tab. Edit only the blue figures. Yellow-shaded cells are the levers that move returns most.</t>
  </si>
  <si>
    <t xml:space="preserve">2. Cash Flow</t>
  </si>
  <si>
    <t xml:space="preserve">An 11-year operating projection. Year 11 exists solely to supply forward NOI for an exit in Year 10; nothing else uses it.</t>
  </si>
  <si>
    <t xml:space="preserve">3. Returns</t>
  </si>
  <si>
    <t xml:space="preserve">Sources and uses, exit math, and unlevered and levered returns. The Year 0-10 cash flow strip is what the IRR calculations run on.</t>
  </si>
  <si>
    <t xml:space="preserve">4. Waterfall</t>
  </si>
  <si>
    <t xml:space="preserve">Splits levered cash flow between LP and GP across three tiers.</t>
  </si>
  <si>
    <t xml:space="preserve">5. Sensitivity</t>
  </si>
  <si>
    <t xml:space="preserve">Two 5x5 grids re-underwrite the deal across exit cap rate and purchase price. The scenario engine below the grids does the work.</t>
  </si>
  <si>
    <t xml:space="preserve">CELL COLOR LEGEND</t>
  </si>
  <si>
    <t xml:space="preserve">Blue text</t>
  </si>
  <si>
    <t xml:space="preserve">Hardcoded input. Edit these.</t>
  </si>
  <si>
    <t xml:space="preserve">Black text</t>
  </si>
  <si>
    <t xml:space="preserve">Formula. Do not overwrite.</t>
  </si>
  <si>
    <t xml:space="preserve">Green text</t>
  </si>
  <si>
    <t xml:space="preserve">Link to another tab.</t>
  </si>
  <si>
    <t xml:space="preserve">Yellow fill</t>
  </si>
  <si>
    <t xml:space="preserve">Key assumption or headline output.</t>
  </si>
  <si>
    <t xml:space="preserve">MODELING CONVENTIONS</t>
  </si>
  <si>
    <t xml:space="preserve">Hold period</t>
  </si>
  <si>
    <t xml:space="preserve">Integer from 1 to 10, set on Assumptions. Sale is assumed at the end of the hold year. Cash flows past the hold year are zeroed automatically.</t>
  </si>
  <si>
    <t xml:space="preserve">Exit value</t>
  </si>
  <si>
    <t xml:space="preserve">Forward NOI (hold year + 1) divided by the exit cap rate, less cost of sale.</t>
  </si>
  <si>
    <t xml:space="preserve">Debt</t>
  </si>
  <si>
    <t xml:space="preserve">Sized as a percentage of purchase price. Interest-only for the stated period, then amortized over the remaining amortization term. Loan fee is an equity use at close.</t>
  </si>
  <si>
    <t xml:space="preserve">Management fee</t>
  </si>
  <si>
    <t xml:space="preserve">Calculated on effective gross revenue, so it flexes with vacancy.</t>
  </si>
  <si>
    <t xml:space="preserve">Waterfall</t>
  </si>
  <si>
    <t xml:space="preserve">IRR-hurdle method. Tier balances accrue on contributed equity at the hurdle rate and are reduced by distributions received. Promote is paid from Tier 2 and Tier 3 only. Tier 2 must exceed Tier 1 for the structure to behave as intended.</t>
  </si>
  <si>
    <t xml:space="preserve">Sensitivity</t>
  </si>
  <si>
    <t xml:space="preserve">Loan size, debt service, and payoff balance all scale linearly with purchase price, so each scenario re-derives its own equity, debt service, and exit proceeds.</t>
  </si>
  <si>
    <t xml:space="preserve">IMPORTANT</t>
  </si>
  <si>
    <t xml:space="preserve">Placeholder data</t>
  </si>
  <si>
    <t xml:space="preserve">Every figure on the Assumptions tab is an illustrative placeholder showing expected format and order of magnitude. None of it is sourced market data. Replace all of it with deal-specific underwriting before relying on any output. This template is an analytical framework, not investment advice.</t>
  </si>
  <si>
    <t xml:space="preserve">PRO FORMA TEMPLATE  —  ASSUMPTIONS</t>
  </si>
  <si>
    <t xml:space="preserve">Edit blue figures only. Black figures are calculated — do not overwrite.</t>
  </si>
  <si>
    <t xml:space="preserve">PROPERTY</t>
  </si>
  <si>
    <t xml:space="preserve">Property Name</t>
  </si>
  <si>
    <t xml:space="preserve">Sample Income Property</t>
  </si>
  <si>
    <t xml:space="preserve">Property Type</t>
  </si>
  <si>
    <t xml:space="preserve">Multi-tenant / Generic</t>
  </si>
  <si>
    <t xml:space="preserve">Net Rentable Area (SF)</t>
  </si>
  <si>
    <t xml:space="preserve">Drives all per-SF metrics</t>
  </si>
  <si>
    <t xml:space="preserve">Analysis Start Year</t>
  </si>
  <si>
    <t xml:space="preserve">Year 1 of the projection</t>
  </si>
  <si>
    <t xml:space="preserve">ACQUISITION</t>
  </si>
  <si>
    <t xml:space="preserve">Purchase Price</t>
  </si>
  <si>
    <t xml:space="preserve">Contract price, excluding closing costs</t>
  </si>
  <si>
    <t xml:space="preserve">Purchase Price PSF</t>
  </si>
  <si>
    <t xml:space="preserve">Acquisition Costs (% of price)</t>
  </si>
  <si>
    <t xml:space="preserve">Legal, title, diligence, transfer tax</t>
  </si>
  <si>
    <t xml:space="preserve">Upfront Capital Reserve</t>
  </si>
  <si>
    <t xml:space="preserve">Day-one capex / TI funded at close</t>
  </si>
  <si>
    <t xml:space="preserve">REVENUE — YEAR 1</t>
  </si>
  <si>
    <t xml:space="preserve">Base Rental Revenue</t>
  </si>
  <si>
    <t xml:space="preserve">Contract rent at 100% occupancy</t>
  </si>
  <si>
    <t xml:space="preserve">Expense Reimbursements</t>
  </si>
  <si>
    <t xml:space="preserve">CAM / NNN recoveries</t>
  </si>
  <si>
    <t xml:space="preserve">Other Income</t>
  </si>
  <si>
    <t xml:space="preserve">Parking, storage, fees, ancillary</t>
  </si>
  <si>
    <t xml:space="preserve">Rental Growth Rate</t>
  </si>
  <si>
    <t xml:space="preserve">Applied annually to base rent</t>
  </si>
  <si>
    <t xml:space="preserve">Other Income Growth Rate</t>
  </si>
  <si>
    <t xml:space="preserve">Applied annually to other income</t>
  </si>
  <si>
    <t xml:space="preserve">Vacancy &amp; Credit Loss</t>
  </si>
  <si>
    <t xml:space="preserve">% of gross potential revenue</t>
  </si>
  <si>
    <t xml:space="preserve">OPERATING EXPENSES — YEAR 1</t>
  </si>
  <si>
    <t xml:space="preserve">Property Taxes</t>
  </si>
  <si>
    <t xml:space="preserve">Insurance</t>
  </si>
  <si>
    <t xml:space="preserve">Utilities</t>
  </si>
  <si>
    <t xml:space="preserve">Repairs &amp; Maintenance</t>
  </si>
  <si>
    <t xml:space="preserve">General &amp; Administrative / Other</t>
  </si>
  <si>
    <t xml:space="preserve">Expense Growth Rate</t>
  </si>
  <si>
    <t xml:space="preserve">Applied to all line items above</t>
  </si>
  <si>
    <t xml:space="preserve">Management Fee (% of EGR)</t>
  </si>
  <si>
    <t xml:space="preserve">Calculated on effective gross revenue</t>
  </si>
  <si>
    <t xml:space="preserve">CAPITAL COSTS</t>
  </si>
  <si>
    <t xml:space="preserve">Capital Reserve ($/SF/yr)</t>
  </si>
  <si>
    <t xml:space="preserve">Recurring replacement reserve</t>
  </si>
  <si>
    <t xml:space="preserve">TI &amp; Leasing Commissions ($/SF/yr)</t>
  </si>
  <si>
    <t xml:space="preserve">Averaged rollover cost</t>
  </si>
  <si>
    <t xml:space="preserve">Capital Cost Growth Rate</t>
  </si>
  <si>
    <t xml:space="preserve">DEBT</t>
  </si>
  <si>
    <t xml:space="preserve">Loan-to-Value (% of purchase price)</t>
  </si>
  <si>
    <t xml:space="preserve">Sizes the loan off price</t>
  </si>
  <si>
    <t xml:space="preserve">Interest Rate</t>
  </si>
  <si>
    <t xml:space="preserve">Fixed, annual</t>
  </si>
  <si>
    <t xml:space="preserve">Amortization Period (years)</t>
  </si>
  <si>
    <t xml:space="preserve">Full amortization term</t>
  </si>
  <si>
    <t xml:space="preserve">Interest-Only Period (years)</t>
  </si>
  <si>
    <t xml:space="preserve">0 = amortizing from Year 1</t>
  </si>
  <si>
    <t xml:space="preserve">Loan Fee (% of loan)</t>
  </si>
  <si>
    <t xml:space="preserve">Origination points, paid at close</t>
  </si>
  <si>
    <t xml:space="preserve">Loan Amount</t>
  </si>
  <si>
    <t xml:space="preserve">Annual Payment (post-IO)</t>
  </si>
  <si>
    <t xml:space="preserve">Loan amortized over remaining term after IO</t>
  </si>
  <si>
    <t xml:space="preserve">EXIT</t>
  </si>
  <si>
    <t xml:space="preserve">Hold Period (years)</t>
  </si>
  <si>
    <t xml:space="preserve">Integer, 1 to 10. Sale occurs at year end.</t>
  </si>
  <si>
    <t xml:space="preserve">Exit Cap Rate</t>
  </si>
  <si>
    <t xml:space="preserve">Applied to forward (Year hold+1) NOI. Underwritten above going-in.</t>
  </si>
  <si>
    <t xml:space="preserve">Cost of Sale (% of gross price)</t>
  </si>
  <si>
    <t xml:space="preserve">Brokerage, legal, transfer</t>
  </si>
  <si>
    <t xml:space="preserve">EQUITY WATERFALL</t>
  </si>
  <si>
    <t xml:space="preserve">LP Equity Share</t>
  </si>
  <si>
    <t xml:space="preserve">Limited partner share of contributed equity</t>
  </si>
  <si>
    <t xml:space="preserve">GP Equity Share</t>
  </si>
  <si>
    <t xml:space="preserve">Sponsor co-investment</t>
  </si>
  <si>
    <t xml:space="preserve">Tier 1 — Preferred Return (IRR)</t>
  </si>
  <si>
    <t xml:space="preserve">Pro rata until achieved</t>
  </si>
  <si>
    <t xml:space="preserve">Tier 2 — Hurdle (IRR)</t>
  </si>
  <si>
    <t xml:space="preserve">Must exceed Tier 1</t>
  </si>
  <si>
    <t xml:space="preserve">Tier 2 — Promote to GP</t>
  </si>
  <si>
    <t xml:space="preserve">GP share of Tier 2 distributions</t>
  </si>
  <si>
    <t xml:space="preserve">Tier 3 — Promote to GP</t>
  </si>
  <si>
    <t xml:space="preserve">GP share of residual distributions</t>
  </si>
  <si>
    <t xml:space="preserve">SENSITIVITY AXES</t>
  </si>
  <si>
    <t xml:space="preserve">Purchase Price Step</t>
  </si>
  <si>
    <t xml:space="preserve">Grid spans -2 to +2 steps around base price</t>
  </si>
  <si>
    <t xml:space="preserve">Exit Cap Step (bps)</t>
  </si>
  <si>
    <t xml:space="preserve">Grid spans -2 to +2 steps around base cap</t>
  </si>
  <si>
    <t xml:space="preserve">SOURCE NOTE</t>
  </si>
  <si>
    <t xml:space="preserve">All input values above are illustrative placeholders supplied as an example of expected format and magnitude. They are not sourced market data. Replace every blue figure with deal-specific underwriting before use.</t>
  </si>
  <si>
    <t xml:space="preserve">OPERATING PRO FORMA  —  11-YEAR PROJECTION</t>
  </si>
  <si>
    <t xml:space="preserve">Year</t>
  </si>
  <si>
    <t xml:space="preserve">Calendar Year</t>
  </si>
  <si>
    <t xml:space="preserve">REVENUE</t>
  </si>
  <si>
    <t xml:space="preserve">Gross Potential Revenue</t>
  </si>
  <si>
    <t xml:space="preserve">Less: Vacancy &amp; Credit Loss</t>
  </si>
  <si>
    <t xml:space="preserve">Effective Gross Revenue</t>
  </si>
  <si>
    <t xml:space="preserve">OPERATING EXPENSES</t>
  </si>
  <si>
    <t xml:space="preserve">Management Fee</t>
  </si>
  <si>
    <t xml:space="preserve">Total Operating Expenses</t>
  </si>
  <si>
    <t xml:space="preserve">NET OPERATING INCOME</t>
  </si>
  <si>
    <t xml:space="preserve">NOI Margin (% of EGR)</t>
  </si>
  <si>
    <t xml:space="preserve">NOI Growth</t>
  </si>
  <si>
    <t xml:space="preserve">Capital Reserve</t>
  </si>
  <si>
    <t xml:space="preserve">Tenant Improvements &amp; Leasing Commissions</t>
  </si>
  <si>
    <t xml:space="preserve">Total Capital Costs</t>
  </si>
  <si>
    <t xml:space="preserve">CASH FLOW BEFORE DEBT SERVICE</t>
  </si>
  <si>
    <t xml:space="preserve">DEBT SERVICE</t>
  </si>
  <si>
    <t xml:space="preserve">Beginning Loan Balance</t>
  </si>
  <si>
    <t xml:space="preserve">Interest Expense</t>
  </si>
  <si>
    <t xml:space="preserve">Principal Amortization</t>
  </si>
  <si>
    <t xml:space="preserve">Total Debt Service</t>
  </si>
  <si>
    <t xml:space="preserve">Ending Loan Balance</t>
  </si>
  <si>
    <t xml:space="preserve">CASH FLOW AFTER DEBT SERVICE</t>
  </si>
  <si>
    <t xml:space="preserve">COVERAGE &amp; RETURN METRICS</t>
  </si>
  <si>
    <t xml:space="preserve">Debt Service Coverage Ratio</t>
  </si>
  <si>
    <t xml:space="preserve">Debt Yield (NOI / loan balance)</t>
  </si>
  <si>
    <t xml:space="preserve">Cash-on-Cash Return</t>
  </si>
  <si>
    <t xml:space="preserve">SOURCES &amp; USES, EXIT, AND RETURNS</t>
  </si>
  <si>
    <t xml:space="preserve">USES OF FUNDS</t>
  </si>
  <si>
    <t xml:space="preserve">Acquisition Costs</t>
  </si>
  <si>
    <t xml:space="preserve">Loan Fee</t>
  </si>
  <si>
    <t xml:space="preserve">Total Uses</t>
  </si>
  <si>
    <t xml:space="preserve">SOURCES OF FUNDS</t>
  </si>
  <si>
    <t xml:space="preserve">Senior Loan</t>
  </si>
  <si>
    <t xml:space="preserve">Sponsor Equity</t>
  </si>
  <si>
    <t xml:space="preserve">Total Sources</t>
  </si>
  <si>
    <t xml:space="preserve">Total Equity Requirement</t>
  </si>
  <si>
    <t xml:space="preserve">Check (Sources less Uses)</t>
  </si>
  <si>
    <t xml:space="preserve">ACQUISITION METRICS</t>
  </si>
  <si>
    <t xml:space="preserve">Going-in Cap Rate (Yr 1 NOI / price)</t>
  </si>
  <si>
    <t xml:space="preserve">Loan-to-Value</t>
  </si>
  <si>
    <t xml:space="preserve">Loan-to-Cost</t>
  </si>
  <si>
    <t xml:space="preserve">Year 1 DSCR</t>
  </si>
  <si>
    <t xml:space="preserve">Year 1 Debt Yield</t>
  </si>
  <si>
    <t xml:space="preserve">Equity as % of Total Uses</t>
  </si>
  <si>
    <t xml:space="preserve">Exit Year (calendar)</t>
  </si>
  <si>
    <t xml:space="preserve">Forward NOI (Year hold + 1)</t>
  </si>
  <si>
    <t xml:space="preserve">Gross Sale Price</t>
  </si>
  <si>
    <t xml:space="preserve">Exit Price PSF</t>
  </si>
  <si>
    <t xml:space="preserve">Less: Cost of Sale</t>
  </si>
  <si>
    <t xml:space="preserve">Net Sale Proceeds</t>
  </si>
  <si>
    <t xml:space="preserve">Less: Loan Payoff</t>
  </si>
  <si>
    <t xml:space="preserve">Net Proceeds to Equity</t>
  </si>
  <si>
    <t xml:space="preserve">CASH FLOW SUMMARY</t>
  </si>
  <si>
    <t xml:space="preserve">Unlevered Cash Flow</t>
  </si>
  <si>
    <t xml:space="preserve">Levered Cash Flow</t>
  </si>
  <si>
    <t xml:space="preserve">RETURN SUMMARY</t>
  </si>
  <si>
    <t xml:space="preserve">Unlevered IRR</t>
  </si>
  <si>
    <t xml:space="preserve">Unlevered Equity Multiple</t>
  </si>
  <si>
    <t xml:space="preserve">Unlevered Profit</t>
  </si>
  <si>
    <t xml:space="preserve">Levered IRR</t>
  </si>
  <si>
    <t xml:space="preserve">Levered Equity Multiple</t>
  </si>
  <si>
    <t xml:space="preserve">Levered Profit</t>
  </si>
  <si>
    <t xml:space="preserve">Average Cash-on-Cash (pre-sale)</t>
  </si>
  <si>
    <t xml:space="preserve">Peak Equity Outstanding</t>
  </si>
  <si>
    <t xml:space="preserve">EQUITY DISTRIBUTION WATERFALL  —  IRR HURDLE METHOD</t>
  </si>
  <si>
    <t xml:space="preserve">Hurdle balances accrue on contributed equity and are reduced by distributions received. Promote is paid only from Tier 2 and Tier 3 proceeds.</t>
  </si>
  <si>
    <t xml:space="preserve">CASH AVAILABLE</t>
  </si>
  <si>
    <t xml:space="preserve">Equity Contribution</t>
  </si>
  <si>
    <t xml:space="preserve">Distributable Cash</t>
  </si>
  <si>
    <t xml:space="preserve">TIER 1 — PREFERRED RETURN</t>
  </si>
  <si>
    <t xml:space="preserve">Beginning Balance</t>
  </si>
  <si>
    <t xml:space="preserve">Plus: Contributions</t>
  </si>
  <si>
    <t xml:space="preserve">Plus: Accrual</t>
  </si>
  <si>
    <t xml:space="preserve">Distribution</t>
  </si>
  <si>
    <t xml:space="preserve">Ending Balance</t>
  </si>
  <si>
    <t xml:space="preserve">Cash Remaining after Tier 1</t>
  </si>
  <si>
    <t xml:space="preserve">TIER 2 — HURDLE</t>
  </si>
  <si>
    <t xml:space="preserve">Less: Tier 1 Distribution</t>
  </si>
  <si>
    <t xml:space="preserve">Remaining Gap to Hurdle</t>
  </si>
  <si>
    <t xml:space="preserve">Tier 2 Distribution (total)</t>
  </si>
  <si>
    <t xml:space="preserve">  of which: to Equity (pro rata)</t>
  </si>
  <si>
    <t xml:space="preserve">  of which: GP Promote</t>
  </si>
  <si>
    <t xml:space="preserve">Cash Remaining after Tier 2</t>
  </si>
  <si>
    <t xml:space="preserve">TIER 3 — RESIDUAL</t>
  </si>
  <si>
    <t xml:space="preserve">Tier 3 Distribution (total)</t>
  </si>
  <si>
    <t xml:space="preserve">PARTNER SPLITS</t>
  </si>
  <si>
    <t xml:space="preserve">Total Distributions to Equity (pro rata)</t>
  </si>
  <si>
    <t xml:space="preserve">Total GP Promote</t>
  </si>
  <si>
    <t xml:space="preserve">Check: total distributed vs. available</t>
  </si>
  <si>
    <t xml:space="preserve">LP Net Cash Flow</t>
  </si>
  <si>
    <t xml:space="preserve">GP Net Cash Flow</t>
  </si>
  <si>
    <t xml:space="preserve">PARTNER RETURNS</t>
  </si>
  <si>
    <t xml:space="preserve">LP IRR</t>
  </si>
  <si>
    <t xml:space="preserve">LP Equity Multiple</t>
  </si>
  <si>
    <t xml:space="preserve">LP Profit</t>
  </si>
  <si>
    <t xml:space="preserve">GP IRR</t>
  </si>
  <si>
    <t xml:space="preserve">GP Equity Multiple</t>
  </si>
  <si>
    <t xml:space="preserve">GP Profit</t>
  </si>
  <si>
    <t xml:space="preserve">Total GP Promote Earned</t>
  </si>
  <si>
    <t xml:space="preserve">GP Share of Total Profit</t>
  </si>
  <si>
    <t xml:space="preserve">SENSITIVITY ANALYSIS  —  LEVERED RETURNS</t>
  </si>
  <si>
    <t xml:space="preserve">Rows vary the exit cap rate; columns vary the purchase price. Both axes step off the Assumptions tab.</t>
  </si>
  <si>
    <t xml:space="preserve">LEVERED IRR</t>
  </si>
  <si>
    <t xml:space="preserve">Exit Cap  \  Purchase Price</t>
  </si>
  <si>
    <t xml:space="preserve">LEVERED EQUITY MULTIPLE</t>
  </si>
  <si>
    <t xml:space="preserve">Shaded cell is the base case, matching the Returns tab.</t>
  </si>
  <si>
    <t xml:space="preserve">SCENARIO ENGINE  —  supporting calculations (do not edit)</t>
  </si>
  <si>
    <t xml:space="preserve">Scenario</t>
  </si>
  <si>
    <t xml:space="preserve">Exit Cap</t>
  </si>
  <si>
    <t xml:space="preserve">Loan</t>
  </si>
  <si>
    <t xml:space="preserve">Equity</t>
  </si>
  <si>
    <t xml:space="preserve">Exit Proceeds</t>
  </si>
  <si>
    <t xml:space="preserve">Yr 0</t>
  </si>
  <si>
    <t xml:space="preserve">Yr 1</t>
  </si>
  <si>
    <t xml:space="preserve">Yr 2</t>
  </si>
  <si>
    <t xml:space="preserve">Yr 3</t>
  </si>
  <si>
    <t xml:space="preserve">Yr 4</t>
  </si>
  <si>
    <t xml:space="preserve">Yr 5</t>
  </si>
  <si>
    <t xml:space="preserve">Yr 6</t>
  </si>
  <si>
    <t xml:space="preserve">Yr 7</t>
  </si>
  <si>
    <t xml:space="preserve">Yr 8</t>
  </si>
  <si>
    <t xml:space="preserve">Yr 9</t>
  </si>
  <si>
    <t xml:space="preserve">Yr 10</t>
  </si>
  <si>
    <t xml:space="preserve">IRR</t>
  </si>
  <si>
    <t xml:space="preserve">Multiple</t>
  </si>
  <si>
    <t xml:space="preserve">Cap -2 / Px -2</t>
  </si>
  <si>
    <t xml:space="preserve">Cap -2 / Px -1</t>
  </si>
  <si>
    <t xml:space="preserve">Cap -2 / Px +0</t>
  </si>
  <si>
    <t xml:space="preserve">Cap -2 / Px +1</t>
  </si>
  <si>
    <t xml:space="preserve">Cap -2 / Px +2</t>
  </si>
  <si>
    <t xml:space="preserve">Cap -1 / Px -2</t>
  </si>
  <si>
    <t xml:space="preserve">Cap -1 / Px -1</t>
  </si>
  <si>
    <t xml:space="preserve">Cap -1 / Px +0</t>
  </si>
  <si>
    <t xml:space="preserve">Cap -1 / Px +1</t>
  </si>
  <si>
    <t xml:space="preserve">Cap -1 / Px +2</t>
  </si>
  <si>
    <t xml:space="preserve">Cap +0 / Px -2</t>
  </si>
  <si>
    <t xml:space="preserve">Cap +0 / Px -1</t>
  </si>
  <si>
    <t xml:space="preserve">Cap +0 / Px +0</t>
  </si>
  <si>
    <t xml:space="preserve">Cap +0 / Px +1</t>
  </si>
  <si>
    <t xml:space="preserve">Cap +0 / Px +2</t>
  </si>
  <si>
    <t xml:space="preserve">Cap +1 / Px -2</t>
  </si>
  <si>
    <t xml:space="preserve">Cap +1 / Px -1</t>
  </si>
  <si>
    <t xml:space="preserve">Cap +1 / Px +0</t>
  </si>
  <si>
    <t xml:space="preserve">Cap +1 / Px +1</t>
  </si>
  <si>
    <t xml:space="preserve">Cap +1 / Px +2</t>
  </si>
  <si>
    <t xml:space="preserve">Cap +2 / Px -2</t>
  </si>
  <si>
    <t xml:space="preserve">Cap +2 / Px -1</t>
  </si>
  <si>
    <t xml:space="preserve">Cap +2 / Px +0</t>
  </si>
  <si>
    <t xml:space="preserve">Cap +2 / Px +1</t>
  </si>
  <si>
    <t xml:space="preserve">Cap +2 / Px +2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</si>
</sst>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\$#,##0;&quot;($&quot;#,##0\);\-"/>
    <numFmt numFmtId="168" formatCode="\$#,##0.00;&quot;($&quot;#,##0.00\);\-"/>
    <numFmt numFmtId="169" formatCode="0.0%;\(0.0%\);\-"/>
    <numFmt numFmtId="170" formatCode="0.00%;\(0.00%\);\-"/>
    <numFmt numFmtId="171" formatCode="0.00\x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sz val="10"/>
      <color rgb="FFC0000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10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9"/>
      <color rgb="FFC00000"/>
      <name val="Arial"/>
      <family val="0"/>
      <charset val="1"/>
    </font>
    <font>
      <sz val="9"/>
      <color rgb="FF595959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i val="true"/>
      <sz val="9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9D9D9"/>
        <bgColor rgb="FFC0C0C0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>
        <color rgb="FF808080"/>
      </top>
      <bottom/>
      <diagonal/>
    </border>
    <border diagonalUp="false" diagonalDown="false">
      <left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8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2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2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0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6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6" fillId="4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82"/>
  </cols>
  <sheetData>
    <row r="1" customFormat="false" ht="17.3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 t="s">
        <v>1</v>
      </c>
      <c r="B2" s="2"/>
    </row>
    <row r="4" customFormat="false" ht="15" hidden="false" customHeight="false" outlineLevel="0" collapsed="false">
      <c r="A4" s="3" t="s">
        <v>2</v>
      </c>
      <c r="B4" s="3"/>
    </row>
    <row r="5" customFormat="false" ht="25.5" hidden="false" customHeight="true" outlineLevel="0" collapsed="false">
      <c r="A5" s="4" t="s">
        <v>3</v>
      </c>
      <c r="B5" s="5" t="s">
        <v>4</v>
      </c>
    </row>
    <row r="6" customFormat="false" ht="25.5" hidden="false" customHeight="true" outlineLevel="0" collapsed="false">
      <c r="A6" s="4" t="s">
        <v>5</v>
      </c>
      <c r="B6" s="5" t="s">
        <v>6</v>
      </c>
    </row>
    <row r="7" customFormat="false" ht="25.5" hidden="false" customHeight="true" outlineLevel="0" collapsed="false">
      <c r="A7" s="4" t="s">
        <v>7</v>
      </c>
      <c r="B7" s="5" t="s">
        <v>8</v>
      </c>
    </row>
    <row r="8" customFormat="false" ht="15" hidden="false" customHeight="true" outlineLevel="0" collapsed="false">
      <c r="A8" s="4" t="s">
        <v>9</v>
      </c>
      <c r="B8" s="5" t="s">
        <v>10</v>
      </c>
    </row>
    <row r="9" customFormat="false" ht="25.5" hidden="false" customHeight="true" outlineLevel="0" collapsed="false">
      <c r="A9" s="4" t="s">
        <v>11</v>
      </c>
      <c r="B9" s="5" t="s">
        <v>12</v>
      </c>
    </row>
    <row r="11" customFormat="false" ht="15" hidden="false" customHeight="false" outlineLevel="0" collapsed="false">
      <c r="A11" s="3" t="s">
        <v>13</v>
      </c>
      <c r="B11" s="3"/>
    </row>
    <row r="12" customFormat="false" ht="15" hidden="false" customHeight="true" outlineLevel="0" collapsed="false">
      <c r="A12" s="4" t="s">
        <v>14</v>
      </c>
      <c r="B12" s="5" t="s">
        <v>15</v>
      </c>
    </row>
    <row r="13" customFormat="false" ht="15" hidden="false" customHeight="true" outlineLevel="0" collapsed="false">
      <c r="A13" s="4" t="s">
        <v>16</v>
      </c>
      <c r="B13" s="5" t="s">
        <v>17</v>
      </c>
    </row>
    <row r="14" customFormat="false" ht="15" hidden="false" customHeight="true" outlineLevel="0" collapsed="false">
      <c r="A14" s="4" t="s">
        <v>18</v>
      </c>
      <c r="B14" s="5" t="s">
        <v>19</v>
      </c>
    </row>
    <row r="15" customFormat="false" ht="15" hidden="false" customHeight="true" outlineLevel="0" collapsed="false">
      <c r="A15" s="4" t="s">
        <v>20</v>
      </c>
      <c r="B15" s="5" t="s">
        <v>21</v>
      </c>
    </row>
    <row r="17" customFormat="false" ht="15" hidden="false" customHeight="false" outlineLevel="0" collapsed="false">
      <c r="A17" s="3" t="s">
        <v>22</v>
      </c>
      <c r="B17" s="3"/>
    </row>
    <row r="18" customFormat="false" ht="25.5" hidden="false" customHeight="true" outlineLevel="0" collapsed="false">
      <c r="A18" s="4" t="s">
        <v>23</v>
      </c>
      <c r="B18" s="5" t="s">
        <v>24</v>
      </c>
    </row>
    <row r="19" customFormat="false" ht="15" hidden="false" customHeight="true" outlineLevel="0" collapsed="false">
      <c r="A19" s="4" t="s">
        <v>25</v>
      </c>
      <c r="B19" s="5" t="s">
        <v>26</v>
      </c>
    </row>
    <row r="20" customFormat="false" ht="39" hidden="false" customHeight="true" outlineLevel="0" collapsed="false">
      <c r="A20" s="4" t="s">
        <v>27</v>
      </c>
      <c r="B20" s="5" t="s">
        <v>28</v>
      </c>
    </row>
    <row r="21" customFormat="false" ht="15" hidden="false" customHeight="true" outlineLevel="0" collapsed="false">
      <c r="A21" s="4" t="s">
        <v>29</v>
      </c>
      <c r="B21" s="5" t="s">
        <v>30</v>
      </c>
    </row>
    <row r="22" customFormat="false" ht="39" hidden="false" customHeight="true" outlineLevel="0" collapsed="false">
      <c r="A22" s="4" t="s">
        <v>31</v>
      </c>
      <c r="B22" s="5" t="s">
        <v>32</v>
      </c>
    </row>
    <row r="23" customFormat="false" ht="25.5" hidden="false" customHeight="true" outlineLevel="0" collapsed="false">
      <c r="A23" s="4" t="s">
        <v>33</v>
      </c>
      <c r="B23" s="5" t="s">
        <v>34</v>
      </c>
    </row>
    <row r="25" customFormat="false" ht="15" hidden="false" customHeight="false" outlineLevel="0" collapsed="false">
      <c r="A25" s="3" t="s">
        <v>35</v>
      </c>
      <c r="B25" s="3"/>
    </row>
    <row r="26" customFormat="false" ht="45" hidden="false" customHeight="true" outlineLevel="0" collapsed="false">
      <c r="A26" s="6" t="s">
        <v>36</v>
      </c>
      <c r="B26" s="7" t="s">
        <v>37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4" right="0.4" top="0.5" bottom="0.5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&amp;R&amp;"Arial,Regular"&amp;8 &amp;A  | 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65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  <col collapsed="false" customWidth="true" hidden="false" outlineLevel="0" max="3" min="3" style="0" width="52"/>
  </cols>
  <sheetData>
    <row r="1" customFormat="false" ht="17.35" hidden="false" customHeight="false" outlineLevel="0" collapsed="false">
      <c r="A1" s="1" t="s">
        <v>38</v>
      </c>
      <c r="B1" s="1"/>
      <c r="C1" s="1"/>
    </row>
    <row r="2" customFormat="false" ht="15" hidden="false" customHeight="false" outlineLevel="0" collapsed="false">
      <c r="A2" s="8" t="s">
        <v>39</v>
      </c>
      <c r="B2" s="8"/>
      <c r="C2" s="8"/>
    </row>
    <row r="4" customFormat="false" ht="15" hidden="false" customHeight="false" outlineLevel="0" collapsed="false">
      <c r="A4" s="3" t="s">
        <v>40</v>
      </c>
      <c r="B4" s="3"/>
      <c r="C4" s="3"/>
    </row>
    <row r="5" customFormat="false" ht="15" hidden="false" customHeight="false" outlineLevel="0" collapsed="false">
      <c r="A5" s="9" t="s">
        <v>41</v>
      </c>
      <c r="B5" s="10" t="s">
        <v>42</v>
      </c>
      <c r="C5" s="11"/>
    </row>
    <row r="6" customFormat="false" ht="15" hidden="false" customHeight="false" outlineLevel="0" collapsed="false">
      <c r="A6" s="9" t="s">
        <v>43</v>
      </c>
      <c r="B6" s="10" t="s">
        <v>44</v>
      </c>
      <c r="C6" s="11"/>
    </row>
    <row r="7" customFormat="false" ht="15" hidden="false" customHeight="false" outlineLevel="0" collapsed="false">
      <c r="A7" s="9" t="s">
        <v>45</v>
      </c>
      <c r="B7" s="12" t="n">
        <v>100000</v>
      </c>
      <c r="C7" s="11" t="s">
        <v>46</v>
      </c>
    </row>
    <row r="8" customFormat="false" ht="15" hidden="false" customHeight="false" outlineLevel="0" collapsed="false">
      <c r="A8" s="9" t="s">
        <v>47</v>
      </c>
      <c r="B8" s="13" t="n">
        <v>2026</v>
      </c>
      <c r="C8" s="11" t="s">
        <v>48</v>
      </c>
    </row>
    <row r="10" customFormat="false" ht="15" hidden="false" customHeight="false" outlineLevel="0" collapsed="false">
      <c r="A10" s="3" t="s">
        <v>49</v>
      </c>
      <c r="B10" s="3"/>
      <c r="C10" s="3"/>
    </row>
    <row r="11" customFormat="false" ht="15" hidden="false" customHeight="false" outlineLevel="0" collapsed="false">
      <c r="A11" s="9" t="s">
        <v>50</v>
      </c>
      <c r="B11" s="14" t="n">
        <v>28750000</v>
      </c>
      <c r="C11" s="11" t="s">
        <v>51</v>
      </c>
    </row>
    <row r="12" customFormat="false" ht="15" hidden="false" customHeight="false" outlineLevel="0" collapsed="false">
      <c r="A12" s="15" t="s">
        <v>52</v>
      </c>
      <c r="B12" s="16" t="n">
        <f aca="false">IF($B$7=0,0,$B$11/$B$7)</f>
        <v>287.5</v>
      </c>
      <c r="C12" s="11"/>
    </row>
    <row r="13" customFormat="false" ht="15" hidden="false" customHeight="false" outlineLevel="0" collapsed="false">
      <c r="A13" s="9" t="s">
        <v>53</v>
      </c>
      <c r="B13" s="17" t="n">
        <v>0.015</v>
      </c>
      <c r="C13" s="11" t="s">
        <v>54</v>
      </c>
    </row>
    <row r="14" customFormat="false" ht="15" hidden="false" customHeight="false" outlineLevel="0" collapsed="false">
      <c r="A14" s="9" t="s">
        <v>55</v>
      </c>
      <c r="B14" s="18" t="n">
        <v>750000</v>
      </c>
      <c r="C14" s="11" t="s">
        <v>56</v>
      </c>
    </row>
    <row r="16" customFormat="false" ht="15" hidden="false" customHeight="false" outlineLevel="0" collapsed="false">
      <c r="A16" s="3" t="s">
        <v>57</v>
      </c>
      <c r="B16" s="3"/>
      <c r="C16" s="3"/>
    </row>
    <row r="17" customFormat="false" ht="15" hidden="false" customHeight="false" outlineLevel="0" collapsed="false">
      <c r="A17" s="9" t="s">
        <v>58</v>
      </c>
      <c r="B17" s="14" t="n">
        <v>3000000</v>
      </c>
      <c r="C17" s="11" t="s">
        <v>59</v>
      </c>
    </row>
    <row r="18" customFormat="false" ht="15" hidden="false" customHeight="false" outlineLevel="0" collapsed="false">
      <c r="A18" s="9" t="s">
        <v>60</v>
      </c>
      <c r="B18" s="18" t="n">
        <v>600000</v>
      </c>
      <c r="C18" s="11" t="s">
        <v>61</v>
      </c>
    </row>
    <row r="19" customFormat="false" ht="15" hidden="false" customHeight="false" outlineLevel="0" collapsed="false">
      <c r="A19" s="9" t="s">
        <v>62</v>
      </c>
      <c r="B19" s="18" t="n">
        <v>90000</v>
      </c>
      <c r="C19" s="11" t="s">
        <v>63</v>
      </c>
    </row>
    <row r="20" customFormat="false" ht="15" hidden="false" customHeight="false" outlineLevel="0" collapsed="false">
      <c r="A20" s="9" t="s">
        <v>64</v>
      </c>
      <c r="B20" s="17" t="n">
        <v>0.03</v>
      </c>
      <c r="C20" s="11" t="s">
        <v>65</v>
      </c>
    </row>
    <row r="21" customFormat="false" ht="15" hidden="false" customHeight="false" outlineLevel="0" collapsed="false">
      <c r="A21" s="9" t="s">
        <v>66</v>
      </c>
      <c r="B21" s="17" t="n">
        <v>0.03</v>
      </c>
      <c r="C21" s="11" t="s">
        <v>67</v>
      </c>
    </row>
    <row r="22" customFormat="false" ht="15" hidden="false" customHeight="false" outlineLevel="0" collapsed="false">
      <c r="A22" s="9" t="s">
        <v>68</v>
      </c>
      <c r="B22" s="19" t="n">
        <v>0.07</v>
      </c>
      <c r="C22" s="11" t="s">
        <v>69</v>
      </c>
    </row>
    <row r="24" customFormat="false" ht="15" hidden="false" customHeight="false" outlineLevel="0" collapsed="false">
      <c r="A24" s="3" t="s">
        <v>70</v>
      </c>
      <c r="B24" s="3"/>
      <c r="C24" s="3"/>
    </row>
    <row r="25" customFormat="false" ht="15" hidden="false" customHeight="false" outlineLevel="0" collapsed="false">
      <c r="A25" s="9" t="s">
        <v>71</v>
      </c>
      <c r="B25" s="18" t="n">
        <v>550000</v>
      </c>
      <c r="C25" s="11"/>
    </row>
    <row r="26" customFormat="false" ht="15" hidden="false" customHeight="false" outlineLevel="0" collapsed="false">
      <c r="A26" s="9" t="s">
        <v>72</v>
      </c>
      <c r="B26" s="18" t="n">
        <v>120000</v>
      </c>
      <c r="C26" s="11"/>
    </row>
    <row r="27" customFormat="false" ht="15" hidden="false" customHeight="false" outlineLevel="0" collapsed="false">
      <c r="A27" s="9" t="s">
        <v>73</v>
      </c>
      <c r="B27" s="18" t="n">
        <v>180000</v>
      </c>
      <c r="C27" s="11"/>
    </row>
    <row r="28" customFormat="false" ht="15" hidden="false" customHeight="false" outlineLevel="0" collapsed="false">
      <c r="A28" s="9" t="s">
        <v>74</v>
      </c>
      <c r="B28" s="18" t="n">
        <v>160000</v>
      </c>
      <c r="C28" s="11"/>
    </row>
    <row r="29" customFormat="false" ht="15" hidden="false" customHeight="false" outlineLevel="0" collapsed="false">
      <c r="A29" s="9" t="s">
        <v>75</v>
      </c>
      <c r="B29" s="18" t="n">
        <v>90000</v>
      </c>
      <c r="C29" s="11"/>
    </row>
    <row r="30" customFormat="false" ht="15" hidden="false" customHeight="false" outlineLevel="0" collapsed="false">
      <c r="A30" s="9" t="s">
        <v>76</v>
      </c>
      <c r="B30" s="17" t="n">
        <v>0.025</v>
      </c>
      <c r="C30" s="11" t="s">
        <v>77</v>
      </c>
    </row>
    <row r="31" customFormat="false" ht="15" hidden="false" customHeight="false" outlineLevel="0" collapsed="false">
      <c r="A31" s="9" t="s">
        <v>78</v>
      </c>
      <c r="B31" s="17" t="n">
        <v>0.03</v>
      </c>
      <c r="C31" s="11" t="s">
        <v>79</v>
      </c>
    </row>
    <row r="33" customFormat="false" ht="15" hidden="false" customHeight="false" outlineLevel="0" collapsed="false">
      <c r="A33" s="3" t="s">
        <v>80</v>
      </c>
      <c r="B33" s="3"/>
      <c r="C33" s="3"/>
    </row>
    <row r="34" customFormat="false" ht="15" hidden="false" customHeight="false" outlineLevel="0" collapsed="false">
      <c r="A34" s="9" t="s">
        <v>81</v>
      </c>
      <c r="B34" s="20" t="n">
        <v>0.25</v>
      </c>
      <c r="C34" s="11" t="s">
        <v>82</v>
      </c>
    </row>
    <row r="35" customFormat="false" ht="15" hidden="false" customHeight="false" outlineLevel="0" collapsed="false">
      <c r="A35" s="9" t="s">
        <v>83</v>
      </c>
      <c r="B35" s="20" t="n">
        <v>0.75</v>
      </c>
      <c r="C35" s="11" t="s">
        <v>84</v>
      </c>
    </row>
    <row r="36" customFormat="false" ht="15" hidden="false" customHeight="false" outlineLevel="0" collapsed="false">
      <c r="A36" s="9" t="s">
        <v>85</v>
      </c>
      <c r="B36" s="17" t="n">
        <v>0.025</v>
      </c>
      <c r="C36" s="11"/>
    </row>
    <row r="38" customFormat="false" ht="15" hidden="false" customHeight="false" outlineLevel="0" collapsed="false">
      <c r="A38" s="3" t="s">
        <v>86</v>
      </c>
      <c r="B38" s="3"/>
      <c r="C38" s="3"/>
    </row>
    <row r="39" customFormat="false" ht="15" hidden="false" customHeight="false" outlineLevel="0" collapsed="false">
      <c r="A39" s="9" t="s">
        <v>87</v>
      </c>
      <c r="B39" s="19" t="n">
        <v>0.6</v>
      </c>
      <c r="C39" s="11" t="s">
        <v>88</v>
      </c>
    </row>
    <row r="40" customFormat="false" ht="15" hidden="false" customHeight="false" outlineLevel="0" collapsed="false">
      <c r="A40" s="9" t="s">
        <v>89</v>
      </c>
      <c r="B40" s="21" t="n">
        <v>0.0625</v>
      </c>
      <c r="C40" s="11" t="s">
        <v>90</v>
      </c>
    </row>
    <row r="41" customFormat="false" ht="15" hidden="false" customHeight="false" outlineLevel="0" collapsed="false">
      <c r="A41" s="9" t="s">
        <v>91</v>
      </c>
      <c r="B41" s="12" t="n">
        <v>30</v>
      </c>
      <c r="C41" s="11" t="s">
        <v>92</v>
      </c>
    </row>
    <row r="42" customFormat="false" ht="15" hidden="false" customHeight="false" outlineLevel="0" collapsed="false">
      <c r="A42" s="9" t="s">
        <v>93</v>
      </c>
      <c r="B42" s="12" t="n">
        <v>2</v>
      </c>
      <c r="C42" s="11" t="s">
        <v>94</v>
      </c>
    </row>
    <row r="43" customFormat="false" ht="15" hidden="false" customHeight="false" outlineLevel="0" collapsed="false">
      <c r="A43" s="9" t="s">
        <v>95</v>
      </c>
      <c r="B43" s="17" t="n">
        <v>0.01</v>
      </c>
      <c r="C43" s="11" t="s">
        <v>96</v>
      </c>
    </row>
    <row r="44" customFormat="false" ht="15" hidden="false" customHeight="false" outlineLevel="0" collapsed="false">
      <c r="A44" s="15" t="s">
        <v>97</v>
      </c>
      <c r="B44" s="22" t="n">
        <f aca="false">$B$39*$B$11</f>
        <v>17250000</v>
      </c>
      <c r="C44" s="11"/>
    </row>
    <row r="45" customFormat="false" ht="15" hidden="false" customHeight="false" outlineLevel="0" collapsed="false">
      <c r="A45" s="15" t="s">
        <v>98</v>
      </c>
      <c r="B45" s="22" t="n">
        <f aca="false">IF($B$41-$B$42&lt;=0,0,-PMT($B$40,$B$41-$B$42,$B$44))</f>
        <v>1319845.04204642</v>
      </c>
      <c r="C45" s="11" t="s">
        <v>99</v>
      </c>
    </row>
    <row r="47" customFormat="false" ht="15" hidden="false" customHeight="false" outlineLevel="0" collapsed="false">
      <c r="A47" s="3" t="s">
        <v>100</v>
      </c>
      <c r="B47" s="3"/>
      <c r="C47" s="3"/>
    </row>
    <row r="48" customFormat="false" ht="15" hidden="false" customHeight="false" outlineLevel="0" collapsed="false">
      <c r="A48" s="9" t="s">
        <v>101</v>
      </c>
      <c r="B48" s="23" t="n">
        <v>5</v>
      </c>
      <c r="C48" s="11" t="s">
        <v>102</v>
      </c>
    </row>
    <row r="49" customFormat="false" ht="15" hidden="false" customHeight="false" outlineLevel="0" collapsed="false">
      <c r="A49" s="9" t="s">
        <v>103</v>
      </c>
      <c r="B49" s="21" t="n">
        <v>0.08</v>
      </c>
      <c r="C49" s="11" t="s">
        <v>104</v>
      </c>
    </row>
    <row r="50" customFormat="false" ht="15" hidden="false" customHeight="false" outlineLevel="0" collapsed="false">
      <c r="A50" s="9" t="s">
        <v>105</v>
      </c>
      <c r="B50" s="17" t="n">
        <v>0.02</v>
      </c>
      <c r="C50" s="11" t="s">
        <v>106</v>
      </c>
    </row>
    <row r="52" customFormat="false" ht="15" hidden="false" customHeight="false" outlineLevel="0" collapsed="false">
      <c r="A52" s="3" t="s">
        <v>107</v>
      </c>
      <c r="B52" s="3"/>
      <c r="C52" s="3"/>
    </row>
    <row r="53" customFormat="false" ht="15" hidden="false" customHeight="false" outlineLevel="0" collapsed="false">
      <c r="A53" s="9" t="s">
        <v>108</v>
      </c>
      <c r="B53" s="17" t="n">
        <v>0.9</v>
      </c>
      <c r="C53" s="11" t="s">
        <v>109</v>
      </c>
    </row>
    <row r="54" customFormat="false" ht="15" hidden="false" customHeight="false" outlineLevel="0" collapsed="false">
      <c r="A54" s="15" t="s">
        <v>110</v>
      </c>
      <c r="B54" s="24" t="n">
        <f aca="false">1-$B$53</f>
        <v>0.1</v>
      </c>
      <c r="C54" s="11" t="s">
        <v>111</v>
      </c>
    </row>
    <row r="55" customFormat="false" ht="15" hidden="false" customHeight="false" outlineLevel="0" collapsed="false">
      <c r="A55" s="9" t="s">
        <v>112</v>
      </c>
      <c r="B55" s="17" t="n">
        <v>0.08</v>
      </c>
      <c r="C55" s="11" t="s">
        <v>113</v>
      </c>
    </row>
    <row r="56" customFormat="false" ht="15" hidden="false" customHeight="false" outlineLevel="0" collapsed="false">
      <c r="A56" s="9" t="s">
        <v>114</v>
      </c>
      <c r="B56" s="17" t="n">
        <v>0.12</v>
      </c>
      <c r="C56" s="11" t="s">
        <v>115</v>
      </c>
    </row>
    <row r="57" customFormat="false" ht="15" hidden="false" customHeight="false" outlineLevel="0" collapsed="false">
      <c r="A57" s="9" t="s">
        <v>116</v>
      </c>
      <c r="B57" s="17" t="n">
        <v>0.2</v>
      </c>
      <c r="C57" s="11" t="s">
        <v>117</v>
      </c>
    </row>
    <row r="58" customFormat="false" ht="15" hidden="false" customHeight="false" outlineLevel="0" collapsed="false">
      <c r="A58" s="9" t="s">
        <v>118</v>
      </c>
      <c r="B58" s="17" t="n">
        <v>0.3</v>
      </c>
      <c r="C58" s="11" t="s">
        <v>119</v>
      </c>
    </row>
    <row r="60" customFormat="false" ht="15" hidden="false" customHeight="false" outlineLevel="0" collapsed="false">
      <c r="A60" s="3" t="s">
        <v>120</v>
      </c>
      <c r="B60" s="3"/>
      <c r="C60" s="3"/>
    </row>
    <row r="61" customFormat="false" ht="15" hidden="false" customHeight="false" outlineLevel="0" collapsed="false">
      <c r="A61" s="9" t="s">
        <v>121</v>
      </c>
      <c r="B61" s="17" t="n">
        <v>0.05</v>
      </c>
      <c r="C61" s="11" t="s">
        <v>122</v>
      </c>
    </row>
    <row r="62" customFormat="false" ht="15" hidden="false" customHeight="false" outlineLevel="0" collapsed="false">
      <c r="A62" s="9" t="s">
        <v>123</v>
      </c>
      <c r="B62" s="12" t="n">
        <v>25</v>
      </c>
      <c r="C62" s="11" t="s">
        <v>124</v>
      </c>
    </row>
    <row r="64" customFormat="false" ht="15" hidden="false" customHeight="false" outlineLevel="0" collapsed="false">
      <c r="A64" s="3" t="s">
        <v>125</v>
      </c>
      <c r="B64" s="3"/>
      <c r="C64" s="3"/>
    </row>
    <row r="65" customFormat="false" ht="30" hidden="false" customHeight="true" outlineLevel="0" collapsed="false">
      <c r="A65" s="25" t="s">
        <v>126</v>
      </c>
      <c r="B65" s="25"/>
      <c r="C65" s="25"/>
    </row>
  </sheetData>
  <mergeCells count="3">
    <mergeCell ref="A1:C1"/>
    <mergeCell ref="A2:C2"/>
    <mergeCell ref="A65:C65"/>
  </mergeCells>
  <printOptions headings="false" gridLines="false" gridLinesSet="true" horizontalCentered="false" verticalCentered="false"/>
  <pageMargins left="0.4" right="0.4" top="0.5" bottom="0.5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&amp;R&amp;"Arial,Regular"&amp;8 &amp;A  |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12" min="2" style="0" width="13"/>
  </cols>
  <sheetData>
    <row r="1" customFormat="false" ht="17.35" hidden="false" customHeight="false" outlineLevel="0" collapsed="false">
      <c r="A1" s="1" t="s">
        <v>127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customFormat="false" ht="15" hidden="false" customHeight="false" outlineLevel="0" collapsed="false">
      <c r="A3" s="26" t="s">
        <v>128</v>
      </c>
      <c r="B3" s="27" t="n">
        <v>1</v>
      </c>
      <c r="C3" s="27" t="n">
        <v>2</v>
      </c>
      <c r="D3" s="27" t="n">
        <v>3</v>
      </c>
      <c r="E3" s="27" t="n">
        <v>4</v>
      </c>
      <c r="F3" s="27" t="n">
        <v>5</v>
      </c>
      <c r="G3" s="27" t="n">
        <v>6</v>
      </c>
      <c r="H3" s="27" t="n">
        <v>7</v>
      </c>
      <c r="I3" s="27" t="n">
        <v>8</v>
      </c>
      <c r="J3" s="27" t="n">
        <v>9</v>
      </c>
      <c r="K3" s="27" t="n">
        <v>10</v>
      </c>
      <c r="L3" s="27" t="n">
        <v>11</v>
      </c>
    </row>
    <row r="4" customFormat="false" ht="15" hidden="false" customHeight="false" outlineLevel="0" collapsed="false">
      <c r="A4" s="26" t="s">
        <v>129</v>
      </c>
      <c r="B4" s="28" t="n">
        <f aca="false">Assumptions!$B$8+1-1</f>
        <v>2026</v>
      </c>
      <c r="C4" s="28" t="n">
        <f aca="false">Assumptions!$B$8+2-1</f>
        <v>2027</v>
      </c>
      <c r="D4" s="28" t="n">
        <f aca="false">Assumptions!$B$8+3-1</f>
        <v>2028</v>
      </c>
      <c r="E4" s="28" t="n">
        <f aca="false">Assumptions!$B$8+4-1</f>
        <v>2029</v>
      </c>
      <c r="F4" s="28" t="n">
        <f aca="false">Assumptions!$B$8+5-1</f>
        <v>2030</v>
      </c>
      <c r="G4" s="28" t="n">
        <f aca="false">Assumptions!$B$8+6-1</f>
        <v>2031</v>
      </c>
      <c r="H4" s="28" t="n">
        <f aca="false">Assumptions!$B$8+7-1</f>
        <v>2032</v>
      </c>
      <c r="I4" s="28" t="n">
        <f aca="false">Assumptions!$B$8+8-1</f>
        <v>2033</v>
      </c>
      <c r="J4" s="28" t="n">
        <f aca="false">Assumptions!$B$8+9-1</f>
        <v>2034</v>
      </c>
      <c r="K4" s="28" t="n">
        <f aca="false">Assumptions!$B$8+10-1</f>
        <v>2035</v>
      </c>
      <c r="L4" s="28" t="n">
        <f aca="false">Assumptions!$B$8+11-1</f>
        <v>2036</v>
      </c>
    </row>
    <row r="6" customFormat="false" ht="15" hidden="false" customHeight="false" outlineLevel="0" collapsed="false">
      <c r="A6" s="3" t="s">
        <v>130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15" hidden="false" customHeight="false" outlineLevel="0" collapsed="false">
      <c r="A7" s="9" t="s">
        <v>58</v>
      </c>
      <c r="B7" s="29" t="n">
        <f aca="false">Assumptions!$B$17</f>
        <v>3000000</v>
      </c>
      <c r="C7" s="22" t="n">
        <f aca="false">B7*(1+Assumptions!$B$20)</f>
        <v>3090000</v>
      </c>
      <c r="D7" s="22" t="n">
        <f aca="false">C7*(1+Assumptions!$B$20)</f>
        <v>3182700</v>
      </c>
      <c r="E7" s="22" t="n">
        <f aca="false">D7*(1+Assumptions!$B$20)</f>
        <v>3278181</v>
      </c>
      <c r="F7" s="22" t="n">
        <f aca="false">E7*(1+Assumptions!$B$20)</f>
        <v>3376526.43</v>
      </c>
      <c r="G7" s="22" t="n">
        <f aca="false">F7*(1+Assumptions!$B$20)</f>
        <v>3477822.2229</v>
      </c>
      <c r="H7" s="22" t="n">
        <f aca="false">G7*(1+Assumptions!$B$20)</f>
        <v>3582156.889587</v>
      </c>
      <c r="I7" s="22" t="n">
        <f aca="false">H7*(1+Assumptions!$B$20)</f>
        <v>3689621.59627461</v>
      </c>
      <c r="J7" s="22" t="n">
        <f aca="false">I7*(1+Assumptions!$B$20)</f>
        <v>3800310.24416285</v>
      </c>
      <c r="K7" s="22" t="n">
        <f aca="false">J7*(1+Assumptions!$B$20)</f>
        <v>3914319.55148773</v>
      </c>
      <c r="L7" s="22" t="n">
        <f aca="false">K7*(1+Assumptions!$B$20)</f>
        <v>4031749.13803237</v>
      </c>
    </row>
    <row r="8" customFormat="false" ht="15" hidden="false" customHeight="false" outlineLevel="0" collapsed="false">
      <c r="A8" s="9" t="s">
        <v>60</v>
      </c>
      <c r="B8" s="29" t="n">
        <f aca="false">Assumptions!$B$18</f>
        <v>600000</v>
      </c>
      <c r="C8" s="22" t="n">
        <f aca="false">B8*(1+Assumptions!$B$30)</f>
        <v>615000</v>
      </c>
      <c r="D8" s="22" t="n">
        <f aca="false">C8*(1+Assumptions!$B$30)</f>
        <v>630375</v>
      </c>
      <c r="E8" s="22" t="n">
        <f aca="false">D8*(1+Assumptions!$B$30)</f>
        <v>646134.375</v>
      </c>
      <c r="F8" s="22" t="n">
        <f aca="false">E8*(1+Assumptions!$B$30)</f>
        <v>662287.734375</v>
      </c>
      <c r="G8" s="22" t="n">
        <f aca="false">F8*(1+Assumptions!$B$30)</f>
        <v>678844.927734375</v>
      </c>
      <c r="H8" s="22" t="n">
        <f aca="false">G8*(1+Assumptions!$B$30)</f>
        <v>695816.050927734</v>
      </c>
      <c r="I8" s="22" t="n">
        <f aca="false">H8*(1+Assumptions!$B$30)</f>
        <v>713211.452200928</v>
      </c>
      <c r="J8" s="22" t="n">
        <f aca="false">I8*(1+Assumptions!$B$30)</f>
        <v>731041.738505951</v>
      </c>
      <c r="K8" s="22" t="n">
        <f aca="false">J8*(1+Assumptions!$B$30)</f>
        <v>749317.781968599</v>
      </c>
      <c r="L8" s="22" t="n">
        <f aca="false">K8*(1+Assumptions!$B$30)</f>
        <v>768050.726517814</v>
      </c>
    </row>
    <row r="9" customFormat="false" ht="15" hidden="false" customHeight="false" outlineLevel="0" collapsed="false">
      <c r="A9" s="9" t="s">
        <v>62</v>
      </c>
      <c r="B9" s="29" t="n">
        <f aca="false">Assumptions!$B$19</f>
        <v>90000</v>
      </c>
      <c r="C9" s="22" t="n">
        <f aca="false">B9*(1+Assumptions!$B$21)</f>
        <v>92700</v>
      </c>
      <c r="D9" s="22" t="n">
        <f aca="false">C9*(1+Assumptions!$B$21)</f>
        <v>95481</v>
      </c>
      <c r="E9" s="22" t="n">
        <f aca="false">D9*(1+Assumptions!$B$21)</f>
        <v>98345.43</v>
      </c>
      <c r="F9" s="22" t="n">
        <f aca="false">E9*(1+Assumptions!$B$21)</f>
        <v>101295.7929</v>
      </c>
      <c r="G9" s="22" t="n">
        <f aca="false">F9*(1+Assumptions!$B$21)</f>
        <v>104334.666687</v>
      </c>
      <c r="H9" s="22" t="n">
        <f aca="false">G9*(1+Assumptions!$B$21)</f>
        <v>107464.70668761</v>
      </c>
      <c r="I9" s="22" t="n">
        <f aca="false">H9*(1+Assumptions!$B$21)</f>
        <v>110688.647888238</v>
      </c>
      <c r="J9" s="22" t="n">
        <f aca="false">I9*(1+Assumptions!$B$21)</f>
        <v>114009.307324885</v>
      </c>
      <c r="K9" s="22" t="n">
        <f aca="false">J9*(1+Assumptions!$B$21)</f>
        <v>117429.586544632</v>
      </c>
      <c r="L9" s="22" t="n">
        <f aca="false">K9*(1+Assumptions!$B$21)</f>
        <v>120952.474140971</v>
      </c>
    </row>
    <row r="10" customFormat="false" ht="15" hidden="false" customHeight="false" outlineLevel="0" collapsed="false">
      <c r="A10" s="26" t="s">
        <v>131</v>
      </c>
      <c r="B10" s="30" t="n">
        <f aca="false">SUM(B7:B9)</f>
        <v>3690000</v>
      </c>
      <c r="C10" s="30" t="n">
        <f aca="false">SUM(C7:C9)</f>
        <v>3797700</v>
      </c>
      <c r="D10" s="30" t="n">
        <f aca="false">SUM(D7:D9)</f>
        <v>3908556</v>
      </c>
      <c r="E10" s="30" t="n">
        <f aca="false">SUM(E7:E9)</f>
        <v>4022660.805</v>
      </c>
      <c r="F10" s="30" t="n">
        <f aca="false">SUM(F7:F9)</f>
        <v>4140109.957275</v>
      </c>
      <c r="G10" s="30" t="n">
        <f aca="false">SUM(G7:G9)</f>
        <v>4261001.81732138</v>
      </c>
      <c r="H10" s="30" t="n">
        <f aca="false">SUM(H7:H9)</f>
        <v>4385437.64720235</v>
      </c>
      <c r="I10" s="30" t="n">
        <f aca="false">SUM(I7:I9)</f>
        <v>4513521.69636378</v>
      </c>
      <c r="J10" s="30" t="n">
        <f aca="false">SUM(J7:J9)</f>
        <v>4645361.28999369</v>
      </c>
      <c r="K10" s="30" t="n">
        <f aca="false">SUM(K7:K9)</f>
        <v>4781066.92000097</v>
      </c>
      <c r="L10" s="30" t="n">
        <f aca="false">SUM(L7:L9)</f>
        <v>4920752.33869115</v>
      </c>
    </row>
    <row r="11" customFormat="false" ht="15" hidden="false" customHeight="false" outlineLevel="0" collapsed="false">
      <c r="A11" s="9" t="s">
        <v>132</v>
      </c>
      <c r="B11" s="22" t="n">
        <f aca="false">-B10*Assumptions!$B$22</f>
        <v>-258300</v>
      </c>
      <c r="C11" s="22" t="n">
        <f aca="false">-C10*Assumptions!$B$22</f>
        <v>-265839</v>
      </c>
      <c r="D11" s="22" t="n">
        <f aca="false">-D10*Assumptions!$B$22</f>
        <v>-273598.92</v>
      </c>
      <c r="E11" s="22" t="n">
        <f aca="false">-E10*Assumptions!$B$22</f>
        <v>-281586.25635</v>
      </c>
      <c r="F11" s="22" t="n">
        <f aca="false">-F10*Assumptions!$B$22</f>
        <v>-289807.69700925</v>
      </c>
      <c r="G11" s="22" t="n">
        <f aca="false">-G10*Assumptions!$B$22</f>
        <v>-298270.127212496</v>
      </c>
      <c r="H11" s="22" t="n">
        <f aca="false">-H10*Assumptions!$B$22</f>
        <v>-306980.635304164</v>
      </c>
      <c r="I11" s="22" t="n">
        <f aca="false">-I10*Assumptions!$B$22</f>
        <v>-315946.518745464</v>
      </c>
      <c r="J11" s="22" t="n">
        <f aca="false">-J10*Assumptions!$B$22</f>
        <v>-325175.290299558</v>
      </c>
      <c r="K11" s="22" t="n">
        <f aca="false">-K10*Assumptions!$B$22</f>
        <v>-334674.684400068</v>
      </c>
      <c r="L11" s="22" t="n">
        <f aca="false">-L10*Assumptions!$B$22</f>
        <v>-344452.663708381</v>
      </c>
    </row>
    <row r="12" customFormat="false" ht="15" hidden="false" customHeight="false" outlineLevel="0" collapsed="false">
      <c r="A12" s="26" t="s">
        <v>133</v>
      </c>
      <c r="B12" s="30" t="n">
        <f aca="false">B10+B11</f>
        <v>3431700</v>
      </c>
      <c r="C12" s="30" t="n">
        <f aca="false">C10+C11</f>
        <v>3531861</v>
      </c>
      <c r="D12" s="30" t="n">
        <f aca="false">D10+D11</f>
        <v>3634957.08</v>
      </c>
      <c r="E12" s="30" t="n">
        <f aca="false">E10+E11</f>
        <v>3741074.54865</v>
      </c>
      <c r="F12" s="30" t="n">
        <f aca="false">F10+F11</f>
        <v>3850302.26026575</v>
      </c>
      <c r="G12" s="30" t="n">
        <f aca="false">G10+G11</f>
        <v>3962731.69010888</v>
      </c>
      <c r="H12" s="30" t="n">
        <f aca="false">H10+H11</f>
        <v>4078457.01189818</v>
      </c>
      <c r="I12" s="30" t="n">
        <f aca="false">I10+I11</f>
        <v>4197575.17761831</v>
      </c>
      <c r="J12" s="30" t="n">
        <f aca="false">J10+J11</f>
        <v>4320185.99969413</v>
      </c>
      <c r="K12" s="30" t="n">
        <f aca="false">K10+K11</f>
        <v>4446392.2356009</v>
      </c>
      <c r="L12" s="30" t="n">
        <f aca="false">L10+L11</f>
        <v>4576299.67498277</v>
      </c>
    </row>
    <row r="14" customFormat="false" ht="15" hidden="false" customHeight="false" outlineLevel="0" collapsed="false">
      <c r="A14" s="3" t="s">
        <v>134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customFormat="false" ht="15" hidden="false" customHeight="false" outlineLevel="0" collapsed="false">
      <c r="A15" s="9" t="s">
        <v>71</v>
      </c>
      <c r="B15" s="29" t="n">
        <f aca="false">Assumptions!$B$25</f>
        <v>550000</v>
      </c>
      <c r="C15" s="22" t="n">
        <f aca="false">B15*(1+Assumptions!$B$30)</f>
        <v>563750</v>
      </c>
      <c r="D15" s="22" t="n">
        <f aca="false">C15*(1+Assumptions!$B$30)</f>
        <v>577843.75</v>
      </c>
      <c r="E15" s="22" t="n">
        <f aca="false">D15*(1+Assumptions!$B$30)</f>
        <v>592289.84375</v>
      </c>
      <c r="F15" s="22" t="n">
        <f aca="false">E15*(1+Assumptions!$B$30)</f>
        <v>607097.08984375</v>
      </c>
      <c r="G15" s="22" t="n">
        <f aca="false">F15*(1+Assumptions!$B$30)</f>
        <v>622274.517089844</v>
      </c>
      <c r="H15" s="22" t="n">
        <f aca="false">G15*(1+Assumptions!$B$30)</f>
        <v>637831.38001709</v>
      </c>
      <c r="I15" s="22" t="n">
        <f aca="false">H15*(1+Assumptions!$B$30)</f>
        <v>653777.164517517</v>
      </c>
      <c r="J15" s="22" t="n">
        <f aca="false">I15*(1+Assumptions!$B$30)</f>
        <v>670121.593630455</v>
      </c>
      <c r="K15" s="22" t="n">
        <f aca="false">J15*(1+Assumptions!$B$30)</f>
        <v>686874.633471216</v>
      </c>
      <c r="L15" s="22" t="n">
        <f aca="false">K15*(1+Assumptions!$B$30)</f>
        <v>704046.499307997</v>
      </c>
    </row>
    <row r="16" customFormat="false" ht="15" hidden="false" customHeight="false" outlineLevel="0" collapsed="false">
      <c r="A16" s="9" t="s">
        <v>72</v>
      </c>
      <c r="B16" s="29" t="n">
        <f aca="false">Assumptions!$B$26</f>
        <v>120000</v>
      </c>
      <c r="C16" s="22" t="n">
        <f aca="false">B16*(1+Assumptions!$B$30)</f>
        <v>123000</v>
      </c>
      <c r="D16" s="22" t="n">
        <f aca="false">C16*(1+Assumptions!$B$30)</f>
        <v>126075</v>
      </c>
      <c r="E16" s="22" t="n">
        <f aca="false">D16*(1+Assumptions!$B$30)</f>
        <v>129226.875</v>
      </c>
      <c r="F16" s="22" t="n">
        <f aca="false">E16*(1+Assumptions!$B$30)</f>
        <v>132457.546875</v>
      </c>
      <c r="G16" s="22" t="n">
        <f aca="false">F16*(1+Assumptions!$B$30)</f>
        <v>135768.985546875</v>
      </c>
      <c r="H16" s="22" t="n">
        <f aca="false">G16*(1+Assumptions!$B$30)</f>
        <v>139163.210185547</v>
      </c>
      <c r="I16" s="22" t="n">
        <f aca="false">H16*(1+Assumptions!$B$30)</f>
        <v>142642.290440185</v>
      </c>
      <c r="J16" s="22" t="n">
        <f aca="false">I16*(1+Assumptions!$B$30)</f>
        <v>146208.34770119</v>
      </c>
      <c r="K16" s="22" t="n">
        <f aca="false">J16*(1+Assumptions!$B$30)</f>
        <v>149863.55639372</v>
      </c>
      <c r="L16" s="22" t="n">
        <f aca="false">K16*(1+Assumptions!$B$30)</f>
        <v>153610.145303563</v>
      </c>
    </row>
    <row r="17" customFormat="false" ht="15" hidden="false" customHeight="false" outlineLevel="0" collapsed="false">
      <c r="A17" s="9" t="s">
        <v>73</v>
      </c>
      <c r="B17" s="29" t="n">
        <f aca="false">Assumptions!$B$27</f>
        <v>180000</v>
      </c>
      <c r="C17" s="22" t="n">
        <f aca="false">B17*(1+Assumptions!$B$30)</f>
        <v>184500</v>
      </c>
      <c r="D17" s="22" t="n">
        <f aca="false">C17*(1+Assumptions!$B$30)</f>
        <v>189112.5</v>
      </c>
      <c r="E17" s="22" t="n">
        <f aca="false">D17*(1+Assumptions!$B$30)</f>
        <v>193840.3125</v>
      </c>
      <c r="F17" s="22" t="n">
        <f aca="false">E17*(1+Assumptions!$B$30)</f>
        <v>198686.3203125</v>
      </c>
      <c r="G17" s="22" t="n">
        <f aca="false">F17*(1+Assumptions!$B$30)</f>
        <v>203653.478320312</v>
      </c>
      <c r="H17" s="22" t="n">
        <f aca="false">G17*(1+Assumptions!$B$30)</f>
        <v>208744.81527832</v>
      </c>
      <c r="I17" s="22" t="n">
        <f aca="false">H17*(1+Assumptions!$B$30)</f>
        <v>213963.435660278</v>
      </c>
      <c r="J17" s="22" t="n">
        <f aca="false">I17*(1+Assumptions!$B$30)</f>
        <v>219312.521551785</v>
      </c>
      <c r="K17" s="22" t="n">
        <f aca="false">J17*(1+Assumptions!$B$30)</f>
        <v>224795.33459058</v>
      </c>
      <c r="L17" s="22" t="n">
        <f aca="false">K17*(1+Assumptions!$B$30)</f>
        <v>230415.217955344</v>
      </c>
    </row>
    <row r="18" customFormat="false" ht="15" hidden="false" customHeight="false" outlineLevel="0" collapsed="false">
      <c r="A18" s="9" t="s">
        <v>74</v>
      </c>
      <c r="B18" s="29" t="n">
        <f aca="false">Assumptions!$B$28</f>
        <v>160000</v>
      </c>
      <c r="C18" s="22" t="n">
        <f aca="false">B18*(1+Assumptions!$B$30)</f>
        <v>164000</v>
      </c>
      <c r="D18" s="22" t="n">
        <f aca="false">C18*(1+Assumptions!$B$30)</f>
        <v>168100</v>
      </c>
      <c r="E18" s="22" t="n">
        <f aca="false">D18*(1+Assumptions!$B$30)</f>
        <v>172302.5</v>
      </c>
      <c r="F18" s="22" t="n">
        <f aca="false">E18*(1+Assumptions!$B$30)</f>
        <v>176610.0625</v>
      </c>
      <c r="G18" s="22" t="n">
        <f aca="false">F18*(1+Assumptions!$B$30)</f>
        <v>181025.3140625</v>
      </c>
      <c r="H18" s="22" t="n">
        <f aca="false">G18*(1+Assumptions!$B$30)</f>
        <v>185550.946914062</v>
      </c>
      <c r="I18" s="22" t="n">
        <f aca="false">H18*(1+Assumptions!$B$30)</f>
        <v>190189.720586914</v>
      </c>
      <c r="J18" s="22" t="n">
        <f aca="false">I18*(1+Assumptions!$B$30)</f>
        <v>194944.463601587</v>
      </c>
      <c r="K18" s="22" t="n">
        <f aca="false">J18*(1+Assumptions!$B$30)</f>
        <v>199818.075191626</v>
      </c>
      <c r="L18" s="22" t="n">
        <f aca="false">K18*(1+Assumptions!$B$30)</f>
        <v>204813.527071417</v>
      </c>
    </row>
    <row r="19" customFormat="false" ht="15" hidden="false" customHeight="false" outlineLevel="0" collapsed="false">
      <c r="A19" s="9" t="s">
        <v>75</v>
      </c>
      <c r="B19" s="29" t="n">
        <f aca="false">Assumptions!$B$29</f>
        <v>90000</v>
      </c>
      <c r="C19" s="22" t="n">
        <f aca="false">B19*(1+Assumptions!$B$30)</f>
        <v>92250</v>
      </c>
      <c r="D19" s="22" t="n">
        <f aca="false">C19*(1+Assumptions!$B$30)</f>
        <v>94556.25</v>
      </c>
      <c r="E19" s="22" t="n">
        <f aca="false">D19*(1+Assumptions!$B$30)</f>
        <v>96920.15625</v>
      </c>
      <c r="F19" s="22" t="n">
        <f aca="false">E19*(1+Assumptions!$B$30)</f>
        <v>99343.1601562499</v>
      </c>
      <c r="G19" s="22" t="n">
        <f aca="false">F19*(1+Assumptions!$B$30)</f>
        <v>101826.739160156</v>
      </c>
      <c r="H19" s="22" t="n">
        <f aca="false">G19*(1+Assumptions!$B$30)</f>
        <v>104372.40763916</v>
      </c>
      <c r="I19" s="22" t="n">
        <f aca="false">H19*(1+Assumptions!$B$30)</f>
        <v>106981.717830139</v>
      </c>
      <c r="J19" s="22" t="n">
        <f aca="false">I19*(1+Assumptions!$B$30)</f>
        <v>109656.260775893</v>
      </c>
      <c r="K19" s="22" t="n">
        <f aca="false">J19*(1+Assumptions!$B$30)</f>
        <v>112397.66729529</v>
      </c>
      <c r="L19" s="22" t="n">
        <f aca="false">K19*(1+Assumptions!$B$30)</f>
        <v>115207.608977672</v>
      </c>
    </row>
    <row r="20" customFormat="false" ht="15" hidden="false" customHeight="false" outlineLevel="0" collapsed="false">
      <c r="A20" s="9" t="s">
        <v>135</v>
      </c>
      <c r="B20" s="22" t="n">
        <f aca="false">B12*Assumptions!$B$31</f>
        <v>102951</v>
      </c>
      <c r="C20" s="22" t="n">
        <f aca="false">C12*Assumptions!$B$31</f>
        <v>105955.83</v>
      </c>
      <c r="D20" s="22" t="n">
        <f aca="false">D12*Assumptions!$B$31</f>
        <v>109048.7124</v>
      </c>
      <c r="E20" s="22" t="n">
        <f aca="false">E12*Assumptions!$B$31</f>
        <v>112232.2364595</v>
      </c>
      <c r="F20" s="22" t="n">
        <f aca="false">F12*Assumptions!$B$31</f>
        <v>115509.067807973</v>
      </c>
      <c r="G20" s="22" t="n">
        <f aca="false">G12*Assumptions!$B$31</f>
        <v>118881.950703266</v>
      </c>
      <c r="H20" s="22" t="n">
        <f aca="false">H12*Assumptions!$B$31</f>
        <v>122353.710356945</v>
      </c>
      <c r="I20" s="22" t="n">
        <f aca="false">I12*Assumptions!$B$31</f>
        <v>125927.255328549</v>
      </c>
      <c r="J20" s="22" t="n">
        <f aca="false">J12*Assumptions!$B$31</f>
        <v>129605.579990824</v>
      </c>
      <c r="K20" s="22" t="n">
        <f aca="false">K12*Assumptions!$B$31</f>
        <v>133391.767068027</v>
      </c>
      <c r="L20" s="22" t="n">
        <f aca="false">L12*Assumptions!$B$31</f>
        <v>137288.990249483</v>
      </c>
    </row>
    <row r="21" customFormat="false" ht="15" hidden="false" customHeight="false" outlineLevel="0" collapsed="false">
      <c r="A21" s="26" t="s">
        <v>136</v>
      </c>
      <c r="B21" s="30" t="n">
        <f aca="false">SUM(B15:B20)</f>
        <v>1202951</v>
      </c>
      <c r="C21" s="30" t="n">
        <f aca="false">SUM(C15:C20)</f>
        <v>1233455.83</v>
      </c>
      <c r="D21" s="30" t="n">
        <f aca="false">SUM(D15:D20)</f>
        <v>1264736.2124</v>
      </c>
      <c r="E21" s="30" t="n">
        <f aca="false">SUM(E15:E20)</f>
        <v>1296811.9239595</v>
      </c>
      <c r="F21" s="30" t="n">
        <f aca="false">SUM(F15:F20)</f>
        <v>1329703.24749547</v>
      </c>
      <c r="G21" s="30" t="n">
        <f aca="false">SUM(G15:G20)</f>
        <v>1363430.98488295</v>
      </c>
      <c r="H21" s="30" t="n">
        <f aca="false">SUM(H15:H20)</f>
        <v>1398016.47039112</v>
      </c>
      <c r="I21" s="30" t="n">
        <f aca="false">SUM(I15:I20)</f>
        <v>1433481.58436358</v>
      </c>
      <c r="J21" s="30" t="n">
        <f aca="false">SUM(J15:J20)</f>
        <v>1469848.76725173</v>
      </c>
      <c r="K21" s="30" t="n">
        <f aca="false">SUM(K15:K20)</f>
        <v>1507141.03401046</v>
      </c>
      <c r="L21" s="30" t="n">
        <f aca="false">SUM(L15:L20)</f>
        <v>1545381.98886548</v>
      </c>
    </row>
    <row r="23" customFormat="false" ht="15" hidden="false" customHeight="false" outlineLevel="0" collapsed="false">
      <c r="A23" s="26" t="s">
        <v>137</v>
      </c>
      <c r="B23" s="30" t="n">
        <f aca="false">B12-B21</f>
        <v>2228749</v>
      </c>
      <c r="C23" s="30" t="n">
        <f aca="false">C12-C21</f>
        <v>2298405.17</v>
      </c>
      <c r="D23" s="30" t="n">
        <f aca="false">D12-D21</f>
        <v>2370220.8676</v>
      </c>
      <c r="E23" s="30" t="n">
        <f aca="false">E12-E21</f>
        <v>2444262.6246905</v>
      </c>
      <c r="F23" s="30" t="n">
        <f aca="false">F12-F21</f>
        <v>2520599.01277028</v>
      </c>
      <c r="G23" s="30" t="n">
        <f aca="false">G12-G21</f>
        <v>2599300.70522593</v>
      </c>
      <c r="H23" s="30" t="n">
        <f aca="false">H12-H21</f>
        <v>2680440.54150706</v>
      </c>
      <c r="I23" s="30" t="n">
        <f aca="false">I12-I21</f>
        <v>2764093.59325473</v>
      </c>
      <c r="J23" s="30" t="n">
        <f aca="false">J12-J21</f>
        <v>2850337.2324424</v>
      </c>
      <c r="K23" s="30" t="n">
        <f aca="false">K12-K21</f>
        <v>2939251.20159044</v>
      </c>
      <c r="L23" s="30" t="n">
        <f aca="false">L12-L21</f>
        <v>3030917.6861173</v>
      </c>
    </row>
    <row r="24" customFormat="false" ht="15" hidden="false" customHeight="false" outlineLevel="0" collapsed="false">
      <c r="A24" s="15" t="s">
        <v>138</v>
      </c>
      <c r="B24" s="31" t="n">
        <f aca="false">IF(B12=0,0,B23/B12)</f>
        <v>0.649459160183</v>
      </c>
      <c r="C24" s="31" t="n">
        <f aca="false">IF(C12=0,0,C23/C12)</f>
        <v>0.650763201043303</v>
      </c>
      <c r="D24" s="31" t="n">
        <f aca="false">IF(D12=0,0,D23/D12)</f>
        <v>0.652062958498536</v>
      </c>
      <c r="E24" s="31" t="n">
        <f aca="false">IF(E12=0,0,E23/E12)</f>
        <v>0.653358438305522</v>
      </c>
      <c r="F24" s="31" t="n">
        <f aca="false">IF(F12=0,0,F23/F12)</f>
        <v>0.654649646284213</v>
      </c>
      <c r="G24" s="31" t="n">
        <f aca="false">IF(G12=0,0,G23/G12)</f>
        <v>0.655936588317063</v>
      </c>
      <c r="H24" s="31" t="n">
        <f aca="false">IF(H12=0,0,H23/H12)</f>
        <v>0.657219270348404</v>
      </c>
      <c r="I24" s="31" t="n">
        <f aca="false">IF(I12=0,0,I23/I12)</f>
        <v>0.658497698383824</v>
      </c>
      <c r="J24" s="31" t="n">
        <f aca="false">IF(J12=0,0,J23/J12)</f>
        <v>0.659771878489537</v>
      </c>
      <c r="K24" s="31" t="n">
        <f aca="false">IF(K12=0,0,K23/K12)</f>
        <v>0.66104181679177</v>
      </c>
      <c r="L24" s="31" t="n">
        <f aca="false">IF(L12=0,0,L23/L12)</f>
        <v>0.662307519476138</v>
      </c>
    </row>
    <row r="25" customFormat="false" ht="15" hidden="false" customHeight="false" outlineLevel="0" collapsed="false">
      <c r="A25" s="15" t="s">
        <v>139</v>
      </c>
      <c r="B25" s="32"/>
      <c r="C25" s="32" t="n">
        <f aca="false">IF(B23=0,0,C23/B23-1)</f>
        <v>0.0312534834564142</v>
      </c>
      <c r="D25" s="32" t="n">
        <f aca="false">IF(C23=0,0,D23/C23-1)</f>
        <v>0.0312458823785193</v>
      </c>
      <c r="E25" s="32" t="n">
        <f aca="false">IF(D23=0,0,E23/D23-1)</f>
        <v>0.031238336520711</v>
      </c>
      <c r="F25" s="32" t="n">
        <f aca="false">IF(E23=0,0,F23/E23-1)</f>
        <v>0.0312308453717995</v>
      </c>
      <c r="G25" s="32" t="n">
        <f aca="false">IF(F23=0,0,G23/F23-1)</f>
        <v>0.0312234084266934</v>
      </c>
      <c r="H25" s="32" t="n">
        <f aca="false">IF(G23=0,0,H23/G23-1)</f>
        <v>0.0312160251863121</v>
      </c>
      <c r="I25" s="32" t="n">
        <f aca="false">IF(H23=0,0,I23/H23-1)</f>
        <v>0.031208695157491</v>
      </c>
      <c r="J25" s="32" t="n">
        <f aca="false">IF(I23=0,0,J23/I23-1)</f>
        <v>0.0312014178529001</v>
      </c>
      <c r="K25" s="32" t="n">
        <f aca="false">IF(J23=0,0,K23/J23-1)</f>
        <v>0.0311941927909547</v>
      </c>
      <c r="L25" s="32" t="n">
        <f aca="false">IF(K23=0,0,L23/K23-1)</f>
        <v>0.0311870194957324</v>
      </c>
    </row>
    <row r="27" customFormat="false" ht="15" hidden="false" customHeight="false" outlineLevel="0" collapsed="false">
      <c r="A27" s="3" t="s">
        <v>80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Format="false" ht="15" hidden="false" customHeight="false" outlineLevel="0" collapsed="false">
      <c r="A28" s="9" t="s">
        <v>140</v>
      </c>
      <c r="B28" s="22" t="n">
        <f aca="false">Assumptions!$B$7*Assumptions!$B$34</f>
        <v>25000</v>
      </c>
      <c r="C28" s="22" t="n">
        <f aca="false">B28*(1+Assumptions!$B$36)</f>
        <v>25625</v>
      </c>
      <c r="D28" s="22" t="n">
        <f aca="false">C28*(1+Assumptions!$B$36)</f>
        <v>26265.625</v>
      </c>
      <c r="E28" s="22" t="n">
        <f aca="false">D28*(1+Assumptions!$B$36)</f>
        <v>26922.265625</v>
      </c>
      <c r="F28" s="22" t="n">
        <f aca="false">E28*(1+Assumptions!$B$36)</f>
        <v>27595.322265625</v>
      </c>
      <c r="G28" s="22" t="n">
        <f aca="false">F28*(1+Assumptions!$B$36)</f>
        <v>28285.2053222656</v>
      </c>
      <c r="H28" s="22" t="n">
        <f aca="false">G28*(1+Assumptions!$B$36)</f>
        <v>28992.3354553222</v>
      </c>
      <c r="I28" s="22" t="n">
        <f aca="false">H28*(1+Assumptions!$B$36)</f>
        <v>29717.1438417053</v>
      </c>
      <c r="J28" s="22" t="n">
        <f aca="false">I28*(1+Assumptions!$B$36)</f>
        <v>30460.0724377479</v>
      </c>
      <c r="K28" s="22" t="n">
        <f aca="false">J28*(1+Assumptions!$B$36)</f>
        <v>31221.5742486916</v>
      </c>
      <c r="L28" s="22" t="n">
        <f aca="false">K28*(1+Assumptions!$B$36)</f>
        <v>32002.1136049089</v>
      </c>
    </row>
    <row r="29" customFormat="false" ht="15" hidden="false" customHeight="false" outlineLevel="0" collapsed="false">
      <c r="A29" s="9" t="s">
        <v>141</v>
      </c>
      <c r="B29" s="22" t="n">
        <f aca="false">Assumptions!$B$7*Assumptions!$B$35</f>
        <v>75000</v>
      </c>
      <c r="C29" s="22" t="n">
        <f aca="false">B29*(1+Assumptions!$B$36)</f>
        <v>76875</v>
      </c>
      <c r="D29" s="22" t="n">
        <f aca="false">C29*(1+Assumptions!$B$36)</f>
        <v>78796.875</v>
      </c>
      <c r="E29" s="22" t="n">
        <f aca="false">D29*(1+Assumptions!$B$36)</f>
        <v>80766.796875</v>
      </c>
      <c r="F29" s="22" t="n">
        <f aca="false">E29*(1+Assumptions!$B$36)</f>
        <v>82785.966796875</v>
      </c>
      <c r="G29" s="22" t="n">
        <f aca="false">F29*(1+Assumptions!$B$36)</f>
        <v>84855.6159667969</v>
      </c>
      <c r="H29" s="22" t="n">
        <f aca="false">G29*(1+Assumptions!$B$36)</f>
        <v>86977.0063659668</v>
      </c>
      <c r="I29" s="22" t="n">
        <f aca="false">H29*(1+Assumptions!$B$36)</f>
        <v>89151.4315251159</v>
      </c>
      <c r="J29" s="22" t="n">
        <f aca="false">I29*(1+Assumptions!$B$36)</f>
        <v>91380.2173132438</v>
      </c>
      <c r="K29" s="22" t="n">
        <f aca="false">J29*(1+Assumptions!$B$36)</f>
        <v>93664.7227460749</v>
      </c>
      <c r="L29" s="22" t="n">
        <f aca="false">K29*(1+Assumptions!$B$36)</f>
        <v>96006.3408147268</v>
      </c>
    </row>
    <row r="30" customFormat="false" ht="15" hidden="false" customHeight="false" outlineLevel="0" collapsed="false">
      <c r="A30" s="26" t="s">
        <v>142</v>
      </c>
      <c r="B30" s="30" t="n">
        <f aca="false">SUM(B28:B29)</f>
        <v>100000</v>
      </c>
      <c r="C30" s="30" t="n">
        <f aca="false">SUM(C28:C29)</f>
        <v>102500</v>
      </c>
      <c r="D30" s="30" t="n">
        <f aca="false">SUM(D28:D29)</f>
        <v>105062.5</v>
      </c>
      <c r="E30" s="30" t="n">
        <f aca="false">SUM(E28:E29)</f>
        <v>107689.0625</v>
      </c>
      <c r="F30" s="30" t="n">
        <f aca="false">SUM(F28:F29)</f>
        <v>110381.2890625</v>
      </c>
      <c r="G30" s="30" t="n">
        <f aca="false">SUM(G28:G29)</f>
        <v>113140.821289062</v>
      </c>
      <c r="H30" s="30" t="n">
        <f aca="false">SUM(H28:H29)</f>
        <v>115969.341821289</v>
      </c>
      <c r="I30" s="30" t="n">
        <f aca="false">SUM(I28:I29)</f>
        <v>118868.575366821</v>
      </c>
      <c r="J30" s="30" t="n">
        <f aca="false">SUM(J28:J29)</f>
        <v>121840.289750992</v>
      </c>
      <c r="K30" s="30" t="n">
        <f aca="false">SUM(K28:K29)</f>
        <v>124886.296994767</v>
      </c>
      <c r="L30" s="30" t="n">
        <f aca="false">SUM(L28:L29)</f>
        <v>128008.454419636</v>
      </c>
    </row>
    <row r="32" customFormat="false" ht="15" hidden="false" customHeight="false" outlineLevel="0" collapsed="false">
      <c r="A32" s="26" t="s">
        <v>143</v>
      </c>
      <c r="B32" s="30" t="n">
        <f aca="false">B23-B30</f>
        <v>2128749</v>
      </c>
      <c r="C32" s="30" t="n">
        <f aca="false">C23-C30</f>
        <v>2195905.17</v>
      </c>
      <c r="D32" s="30" t="n">
        <f aca="false">D23-D30</f>
        <v>2265158.3676</v>
      </c>
      <c r="E32" s="30" t="n">
        <f aca="false">E23-E30</f>
        <v>2336573.5621905</v>
      </c>
      <c r="F32" s="30" t="n">
        <f aca="false">F23-F30</f>
        <v>2410217.72370778</v>
      </c>
      <c r="G32" s="30" t="n">
        <f aca="false">G23-G30</f>
        <v>2486159.88393686</v>
      </c>
      <c r="H32" s="30" t="n">
        <f aca="false">H23-H30</f>
        <v>2564471.19968577</v>
      </c>
      <c r="I32" s="30" t="n">
        <f aca="false">I23-I30</f>
        <v>2645225.01788791</v>
      </c>
      <c r="J32" s="30" t="n">
        <f aca="false">J23-J30</f>
        <v>2728496.9426914</v>
      </c>
      <c r="K32" s="30" t="n">
        <f aca="false">K23-K30</f>
        <v>2814364.90459567</v>
      </c>
      <c r="L32" s="30" t="n">
        <f aca="false">L23-L30</f>
        <v>2902909.23169766</v>
      </c>
    </row>
    <row r="34" customFormat="false" ht="15" hidden="false" customHeight="false" outlineLevel="0" collapsed="false">
      <c r="A34" s="3" t="s">
        <v>144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customFormat="false" ht="15" hidden="false" customHeight="false" outlineLevel="0" collapsed="false">
      <c r="A35" s="9" t="s">
        <v>145</v>
      </c>
      <c r="B35" s="22" t="n">
        <f aca="false">Assumptions!$B$44</f>
        <v>17250000</v>
      </c>
      <c r="C35" s="22" t="n">
        <f aca="false">B39</f>
        <v>17250000</v>
      </c>
      <c r="D35" s="22" t="n">
        <f aca="false">C39</f>
        <v>17250000</v>
      </c>
      <c r="E35" s="22" t="n">
        <f aca="false">D39</f>
        <v>17008279.9579536</v>
      </c>
      <c r="F35" s="22" t="n">
        <f aca="false">E39</f>
        <v>16751452.4132793</v>
      </c>
      <c r="G35" s="22" t="n">
        <f aca="false">F39</f>
        <v>16478573.1470628</v>
      </c>
      <c r="H35" s="22" t="n">
        <f aca="false">G39</f>
        <v>16188638.9267078</v>
      </c>
      <c r="I35" s="22" t="n">
        <f aca="false">H39</f>
        <v>15880583.8175806</v>
      </c>
      <c r="J35" s="22" t="n">
        <f aca="false">I39</f>
        <v>15553275.264133</v>
      </c>
      <c r="K35" s="22" t="n">
        <f aca="false">J39</f>
        <v>15205509.9260949</v>
      </c>
      <c r="L35" s="22" t="n">
        <f aca="false">K39</f>
        <v>14836009.2544294</v>
      </c>
    </row>
    <row r="36" customFormat="false" ht="15" hidden="false" customHeight="false" outlineLevel="0" collapsed="false">
      <c r="A36" s="9" t="s">
        <v>146</v>
      </c>
      <c r="B36" s="22" t="n">
        <f aca="false">B35*Assumptions!$B$40</f>
        <v>1078125</v>
      </c>
      <c r="C36" s="22" t="n">
        <f aca="false">C35*Assumptions!$B$40</f>
        <v>1078125</v>
      </c>
      <c r="D36" s="22" t="n">
        <f aca="false">D35*Assumptions!$B$40</f>
        <v>1078125</v>
      </c>
      <c r="E36" s="22" t="n">
        <f aca="false">E35*Assumptions!$B$40</f>
        <v>1063017.4973721</v>
      </c>
      <c r="F36" s="22" t="n">
        <f aca="false">F35*Assumptions!$B$40</f>
        <v>1046965.77582995</v>
      </c>
      <c r="G36" s="22" t="n">
        <f aca="false">G35*Assumptions!$B$40</f>
        <v>1029910.82169142</v>
      </c>
      <c r="H36" s="22" t="n">
        <f aca="false">H35*Assumptions!$B$40</f>
        <v>1011789.93291924</v>
      </c>
      <c r="I36" s="22" t="n">
        <f aca="false">I35*Assumptions!$B$40</f>
        <v>992536.488598789</v>
      </c>
      <c r="J36" s="22" t="n">
        <f aca="false">J35*Assumptions!$B$40</f>
        <v>972079.704008312</v>
      </c>
      <c r="K36" s="22" t="n">
        <f aca="false">K35*Assumptions!$B$40</f>
        <v>950344.37038093</v>
      </c>
      <c r="L36" s="22" t="n">
        <f aca="false">L35*Assumptions!$B$40</f>
        <v>927250.578401837</v>
      </c>
    </row>
    <row r="37" customFormat="false" ht="15" hidden="false" customHeight="false" outlineLevel="0" collapsed="false">
      <c r="A37" s="9" t="s">
        <v>147</v>
      </c>
      <c r="B37" s="22" t="n">
        <f aca="false">B38-B36</f>
        <v>0</v>
      </c>
      <c r="C37" s="22" t="n">
        <f aca="false">C38-C36</f>
        <v>0</v>
      </c>
      <c r="D37" s="22" t="n">
        <f aca="false">D38-D36</f>
        <v>241720.04204642</v>
      </c>
      <c r="E37" s="22" t="n">
        <f aca="false">E38-E36</f>
        <v>256827.544674321</v>
      </c>
      <c r="F37" s="22" t="n">
        <f aca="false">F38-F36</f>
        <v>272879.266216466</v>
      </c>
      <c r="G37" s="22" t="n">
        <f aca="false">G38-G36</f>
        <v>289934.220354995</v>
      </c>
      <c r="H37" s="22" t="n">
        <f aca="false">H38-H36</f>
        <v>308055.109127182</v>
      </c>
      <c r="I37" s="22" t="n">
        <f aca="false">I38-I36</f>
        <v>327308.553447631</v>
      </c>
      <c r="J37" s="22" t="n">
        <f aca="false">J38-J36</f>
        <v>347765.338038108</v>
      </c>
      <c r="K37" s="22" t="n">
        <f aca="false">K38-K36</f>
        <v>369500.67166549</v>
      </c>
      <c r="L37" s="22" t="n">
        <f aca="false">L38-L36</f>
        <v>392594.463644583</v>
      </c>
    </row>
    <row r="38" customFormat="false" ht="15" hidden="false" customHeight="false" outlineLevel="0" collapsed="false">
      <c r="A38" s="26" t="s">
        <v>148</v>
      </c>
      <c r="B38" s="30" t="n">
        <f aca="false">IF(1&lt;=Assumptions!$B$42,B35*Assumptions!$B$40,MIN(Assumptions!$B$45,B35*(1+Assumptions!$B$40)))</f>
        <v>1078125</v>
      </c>
      <c r="C38" s="30" t="n">
        <f aca="false">IF(2&lt;=Assumptions!$B$42,C35*Assumptions!$B$40,MIN(Assumptions!$B$45,C35*(1+Assumptions!$B$40)))</f>
        <v>1078125</v>
      </c>
      <c r="D38" s="30" t="n">
        <f aca="false">IF(3&lt;=Assumptions!$B$42,D35*Assumptions!$B$40,MIN(Assumptions!$B$45,D35*(1+Assumptions!$B$40)))</f>
        <v>1319845.04204642</v>
      </c>
      <c r="E38" s="30" t="n">
        <f aca="false">IF(4&lt;=Assumptions!$B$42,E35*Assumptions!$B$40,MIN(Assumptions!$B$45,E35*(1+Assumptions!$B$40)))</f>
        <v>1319845.04204642</v>
      </c>
      <c r="F38" s="30" t="n">
        <f aca="false">IF(5&lt;=Assumptions!$B$42,F35*Assumptions!$B$40,MIN(Assumptions!$B$45,F35*(1+Assumptions!$B$40)))</f>
        <v>1319845.04204642</v>
      </c>
      <c r="G38" s="30" t="n">
        <f aca="false">IF(6&lt;=Assumptions!$B$42,G35*Assumptions!$B$40,MIN(Assumptions!$B$45,G35*(1+Assumptions!$B$40)))</f>
        <v>1319845.04204642</v>
      </c>
      <c r="H38" s="30" t="n">
        <f aca="false">IF(7&lt;=Assumptions!$B$42,H35*Assumptions!$B$40,MIN(Assumptions!$B$45,H35*(1+Assumptions!$B$40)))</f>
        <v>1319845.04204642</v>
      </c>
      <c r="I38" s="30" t="n">
        <f aca="false">IF(8&lt;=Assumptions!$B$42,I35*Assumptions!$B$40,MIN(Assumptions!$B$45,I35*(1+Assumptions!$B$40)))</f>
        <v>1319845.04204642</v>
      </c>
      <c r="J38" s="30" t="n">
        <f aca="false">IF(9&lt;=Assumptions!$B$42,J35*Assumptions!$B$40,MIN(Assumptions!$B$45,J35*(1+Assumptions!$B$40)))</f>
        <v>1319845.04204642</v>
      </c>
      <c r="K38" s="30" t="n">
        <f aca="false">IF(10&lt;=Assumptions!$B$42,K35*Assumptions!$B$40,MIN(Assumptions!$B$45,K35*(1+Assumptions!$B$40)))</f>
        <v>1319845.04204642</v>
      </c>
      <c r="L38" s="30" t="n">
        <f aca="false">IF(11&lt;=Assumptions!$B$42,L35*Assumptions!$B$40,MIN(Assumptions!$B$45,L35*(1+Assumptions!$B$40)))</f>
        <v>1319845.04204642</v>
      </c>
    </row>
    <row r="39" customFormat="false" ht="15" hidden="false" customHeight="false" outlineLevel="0" collapsed="false">
      <c r="A39" s="9" t="s">
        <v>149</v>
      </c>
      <c r="B39" s="22" t="n">
        <f aca="false">B35-B37</f>
        <v>17250000</v>
      </c>
      <c r="C39" s="22" t="n">
        <f aca="false">C35-C37</f>
        <v>17250000</v>
      </c>
      <c r="D39" s="22" t="n">
        <f aca="false">D35-D37</f>
        <v>17008279.9579536</v>
      </c>
      <c r="E39" s="22" t="n">
        <f aca="false">E35-E37</f>
        <v>16751452.4132793</v>
      </c>
      <c r="F39" s="22" t="n">
        <f aca="false">F35-F37</f>
        <v>16478573.1470628</v>
      </c>
      <c r="G39" s="22" t="n">
        <f aca="false">G35-G37</f>
        <v>16188638.9267078</v>
      </c>
      <c r="H39" s="22" t="n">
        <f aca="false">H35-H37</f>
        <v>15880583.8175806</v>
      </c>
      <c r="I39" s="22" t="n">
        <f aca="false">I35-I37</f>
        <v>15553275.264133</v>
      </c>
      <c r="J39" s="22" t="n">
        <f aca="false">J35-J37</f>
        <v>15205509.9260949</v>
      </c>
      <c r="K39" s="22" t="n">
        <f aca="false">K35-K37</f>
        <v>14836009.2544294</v>
      </c>
      <c r="L39" s="22" t="n">
        <f aca="false">L35-L37</f>
        <v>14443414.7907848</v>
      </c>
    </row>
    <row r="41" customFormat="false" ht="15" hidden="false" customHeight="false" outlineLevel="0" collapsed="false">
      <c r="A41" s="26" t="s">
        <v>150</v>
      </c>
      <c r="B41" s="30" t="n">
        <f aca="false">B32-B38</f>
        <v>1050624</v>
      </c>
      <c r="C41" s="30" t="n">
        <f aca="false">C32-C38</f>
        <v>1117780.17</v>
      </c>
      <c r="D41" s="30" t="n">
        <f aca="false">D32-D38</f>
        <v>945313.325553581</v>
      </c>
      <c r="E41" s="30" t="n">
        <f aca="false">E32-E38</f>
        <v>1016728.52014408</v>
      </c>
      <c r="F41" s="30" t="n">
        <f aca="false">F32-F38</f>
        <v>1090372.68166136</v>
      </c>
      <c r="G41" s="30" t="n">
        <f aca="false">G32-G38</f>
        <v>1166314.84189044</v>
      </c>
      <c r="H41" s="30" t="n">
        <f aca="false">H32-H38</f>
        <v>1244626.15763935</v>
      </c>
      <c r="I41" s="30" t="n">
        <f aca="false">I32-I38</f>
        <v>1325379.97584149</v>
      </c>
      <c r="J41" s="30" t="n">
        <f aca="false">J32-J38</f>
        <v>1408651.90064498</v>
      </c>
      <c r="K41" s="30" t="n">
        <f aca="false">K32-K38</f>
        <v>1494519.86254925</v>
      </c>
      <c r="L41" s="30" t="n">
        <f aca="false">L32-L38</f>
        <v>1583064.18965124</v>
      </c>
    </row>
    <row r="43" customFormat="false" ht="15" hidden="false" customHeight="false" outlineLevel="0" collapsed="false">
      <c r="A43" s="3" t="s">
        <v>151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customFormat="false" ht="15" hidden="false" customHeight="false" outlineLevel="0" collapsed="false">
      <c r="A44" s="15" t="s">
        <v>152</v>
      </c>
      <c r="B44" s="33" t="n">
        <f aca="false">IF(B38=0,"n/a",B23/B38)</f>
        <v>2.06724544927536</v>
      </c>
      <c r="C44" s="33" t="n">
        <f aca="false">IF(C38=0,"n/a",C23/C38)</f>
        <v>2.13185407072464</v>
      </c>
      <c r="D44" s="33" t="n">
        <f aca="false">IF(D38=0,"n/a",D23/D38)</f>
        <v>1.79583268648339</v>
      </c>
      <c r="E44" s="33" t="n">
        <f aca="false">IF(E38=0,"n/a",E23/E38)</f>
        <v>1.85193151227865</v>
      </c>
      <c r="F44" s="33" t="n">
        <f aca="false">IF(F38=0,"n/a",F23/F38)</f>
        <v>1.90976889897778</v>
      </c>
      <c r="G44" s="33" t="n">
        <f aca="false">IF(G38=0,"n/a",G23/G38)</f>
        <v>1.96939839331116</v>
      </c>
      <c r="H44" s="33" t="n">
        <f aca="false">IF(H38=0,"n/a",H23/H38)</f>
        <v>2.03087518315865</v>
      </c>
      <c r="I44" s="33" t="n">
        <f aca="false">IF(I38=0,"n/a",I23/I38)</f>
        <v>2.09425614765276</v>
      </c>
      <c r="J44" s="33" t="n">
        <f aca="false">IF(J38=0,"n/a",J23/J38)</f>
        <v>2.15959990880668</v>
      </c>
      <c r="K44" s="33" t="n">
        <f aca="false">IF(K38=0,"n/a",K23/K38)</f>
        <v>2.22696688471332</v>
      </c>
      <c r="L44" s="33" t="n">
        <f aca="false">IF(L38=0,"n/a",L23/L38)</f>
        <v>2.29641934436323</v>
      </c>
    </row>
    <row r="45" customFormat="false" ht="15" hidden="false" customHeight="false" outlineLevel="0" collapsed="false">
      <c r="A45" s="15" t="s">
        <v>153</v>
      </c>
      <c r="B45" s="31" t="n">
        <f aca="false">IF(B35=0,"n/a",B23/B35)</f>
        <v>0.12920284057971</v>
      </c>
      <c r="C45" s="31" t="n">
        <f aca="false">IF(C35=0,"n/a",C23/C35)</f>
        <v>0.13324087942029</v>
      </c>
      <c r="D45" s="31" t="n">
        <f aca="false">IF(D35=0,"n/a",D23/D35)</f>
        <v>0.137404108266667</v>
      </c>
      <c r="E45" s="31" t="n">
        <f aca="false">IF(E35=0,"n/a",E23/E35)</f>
        <v>0.14371015944781</v>
      </c>
      <c r="F45" s="31" t="n">
        <f aca="false">IF(F35=0,"n/a",F23/F35)</f>
        <v>0.150470475668853</v>
      </c>
      <c r="G45" s="31" t="n">
        <f aca="false">IF(G35=0,"n/a",G23/G35)</f>
        <v>0.157738214469694</v>
      </c>
      <c r="H45" s="31" t="n">
        <f aca="false">IF(H35=0,"n/a",H23/H35)</f>
        <v>0.165575410857111</v>
      </c>
      <c r="I45" s="31" t="n">
        <f aca="false">IF(I35=0,"n/a",I23/I35)</f>
        <v>0.174054910386527</v>
      </c>
      <c r="J45" s="31" t="n">
        <f aca="false">IF(J35=0,"n/a",J23/J35)</f>
        <v>0.183262829470747</v>
      </c>
      <c r="K45" s="31" t="n">
        <f aca="false">IF(K35=0,"n/a",K23/K35)</f>
        <v>0.193301718645177</v>
      </c>
      <c r="L45" s="31" t="n">
        <f aca="false">IF(L35=0,"n/a",L23/L35)</f>
        <v>0.20429467481037</v>
      </c>
    </row>
    <row r="46" customFormat="false" ht="15" hidden="false" customHeight="false" outlineLevel="0" collapsed="false">
      <c r="A46" s="15" t="s">
        <v>154</v>
      </c>
      <c r="B46" s="31" t="n">
        <f aca="false">IF(Returns!$B$14=0,"n/a",B41/Returns!$B$14)</f>
        <v>0.081736769425265</v>
      </c>
      <c r="C46" s="31" t="n">
        <f aca="false">IF(Returns!$B$14=0,"n/a",C41/Returns!$B$14)</f>
        <v>0.0869614058154235</v>
      </c>
      <c r="D46" s="31" t="n">
        <f aca="false">IF(Returns!$B$14=0,"n/a",D41/Returns!$B$14)</f>
        <v>0.0735437771509156</v>
      </c>
      <c r="E46" s="31" t="n">
        <f aca="false">IF(Returns!$B$14=0,"n/a",E41/Returns!$B$14)</f>
        <v>0.0790997584474633</v>
      </c>
      <c r="F46" s="31" t="n">
        <f aca="false">IF(Returns!$B$14=0,"n/a",F41/Returns!$B$14)</f>
        <v>0.0848291495992499</v>
      </c>
      <c r="G46" s="31" t="n">
        <f aca="false">IF(Returns!$B$14=0,"n/a",G41/Returns!$B$14)</f>
        <v>0.0907373211623412</v>
      </c>
      <c r="H46" s="31" t="n">
        <f aca="false">IF(Returns!$B$14=0,"n/a",H41/Returns!$B$14)</f>
        <v>0.0968298090159951</v>
      </c>
      <c r="I46" s="31" t="n">
        <f aca="false">IF(Returns!$B$14=0,"n/a",I41/Returns!$B$14)</f>
        <v>0.10311231942752</v>
      </c>
      <c r="J46" s="31" t="n">
        <f aca="false">IF(Returns!$B$14=0,"n/a",J41/Returns!$B$14)</f>
        <v>0.109590734271709</v>
      </c>
      <c r="K46" s="31" t="n">
        <f aca="false">IF(Returns!$B$14=0,"n/a",K41/Returns!$B$14)</f>
        <v>0.11627111640955</v>
      </c>
      <c r="L46" s="31" t="n">
        <f aca="false">IF(Returns!$B$14=0,"n/a",L41/Returns!$B$14)</f>
        <v>0.12315971523106</v>
      </c>
    </row>
  </sheetData>
  <mergeCells count="1">
    <mergeCell ref="A1:L1"/>
  </mergeCells>
  <printOptions headings="false" gridLines="false" gridLinesSet="true" horizontalCentered="false" verticalCentered="false"/>
  <pageMargins left="0.4" right="0.4" top="0.5" bottom="0.5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&amp;R&amp;"Arial,Regular"&amp;8 &amp;A  |  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1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13" min="2" style="0" width="13"/>
  </cols>
  <sheetData>
    <row r="1" customFormat="false" ht="17.35" hidden="false" customHeight="false" outlineLevel="0" collapsed="false">
      <c r="A1" s="1" t="s">
        <v>155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customFormat="false" ht="15" hidden="false" customHeight="false" outlineLevel="0" collapsed="false">
      <c r="A3" s="3" t="s">
        <v>156</v>
      </c>
      <c r="B3" s="3"/>
      <c r="C3" s="3"/>
    </row>
    <row r="4" customFormat="false" ht="15" hidden="false" customHeight="false" outlineLevel="0" collapsed="false">
      <c r="A4" s="9" t="s">
        <v>50</v>
      </c>
      <c r="B4" s="34" t="n">
        <f aca="false">Assumptions!$B$11</f>
        <v>28750000</v>
      </c>
    </row>
    <row r="5" customFormat="false" ht="15" hidden="false" customHeight="false" outlineLevel="0" collapsed="false">
      <c r="A5" s="9" t="s">
        <v>157</v>
      </c>
      <c r="B5" s="34" t="n">
        <f aca="false">Assumptions!$B$11*Assumptions!$B$13</f>
        <v>431250</v>
      </c>
    </row>
    <row r="6" customFormat="false" ht="15" hidden="false" customHeight="false" outlineLevel="0" collapsed="false">
      <c r="A6" s="9" t="s">
        <v>55</v>
      </c>
      <c r="B6" s="34" t="n">
        <f aca="false">Assumptions!$B$14</f>
        <v>750000</v>
      </c>
    </row>
    <row r="7" customFormat="false" ht="15" hidden="false" customHeight="false" outlineLevel="0" collapsed="false">
      <c r="A7" s="9" t="s">
        <v>158</v>
      </c>
      <c r="B7" s="34" t="n">
        <f aca="false">Assumptions!$B$44*Assumptions!$B$43</f>
        <v>172500</v>
      </c>
    </row>
    <row r="8" customFormat="false" ht="15" hidden="false" customHeight="false" outlineLevel="0" collapsed="false">
      <c r="A8" s="26" t="s">
        <v>159</v>
      </c>
      <c r="B8" s="35" t="n">
        <f aca="false">SUM(B4:B7)</f>
        <v>30103750</v>
      </c>
    </row>
    <row r="10" customFormat="false" ht="15" hidden="false" customHeight="false" outlineLevel="0" collapsed="false">
      <c r="A10" s="3" t="s">
        <v>160</v>
      </c>
      <c r="B10" s="3"/>
      <c r="C10" s="3"/>
    </row>
    <row r="11" customFormat="false" ht="15" hidden="false" customHeight="false" outlineLevel="0" collapsed="false">
      <c r="A11" s="9" t="s">
        <v>161</v>
      </c>
      <c r="B11" s="34" t="n">
        <f aca="false">Assumptions!$B$44</f>
        <v>17250000</v>
      </c>
    </row>
    <row r="12" customFormat="false" ht="15" hidden="false" customHeight="false" outlineLevel="0" collapsed="false">
      <c r="A12" s="9" t="s">
        <v>162</v>
      </c>
      <c r="B12" s="34" t="n">
        <f aca="false">B8-B11</f>
        <v>12853750</v>
      </c>
    </row>
    <row r="13" customFormat="false" ht="15" hidden="false" customHeight="false" outlineLevel="0" collapsed="false">
      <c r="A13" s="26" t="s">
        <v>163</v>
      </c>
      <c r="B13" s="35" t="n">
        <f aca="false">SUM(B11:B12)</f>
        <v>30103750</v>
      </c>
    </row>
    <row r="14" customFormat="false" ht="15" hidden="false" customHeight="false" outlineLevel="0" collapsed="false">
      <c r="A14" s="26" t="s">
        <v>164</v>
      </c>
      <c r="B14" s="36" t="n">
        <f aca="false">B12</f>
        <v>12853750</v>
      </c>
    </row>
    <row r="15" customFormat="false" ht="15" hidden="false" customHeight="false" outlineLevel="0" collapsed="false">
      <c r="A15" s="15" t="s">
        <v>165</v>
      </c>
      <c r="B15" s="37" t="n">
        <f aca="false">B13-B8</f>
        <v>0</v>
      </c>
    </row>
    <row r="17" customFormat="false" ht="15" hidden="false" customHeight="false" outlineLevel="0" collapsed="false">
      <c r="A17" s="3" t="s">
        <v>166</v>
      </c>
      <c r="B17" s="3"/>
      <c r="C17" s="3"/>
    </row>
    <row r="18" customFormat="false" ht="15" hidden="false" customHeight="false" outlineLevel="0" collapsed="false">
      <c r="A18" s="9" t="s">
        <v>167</v>
      </c>
      <c r="B18" s="38" t="n">
        <f aca="false">IF(Assumptions!$B$11=0,0,'Cash Flow'!B23/Assumptions!$B$11)</f>
        <v>0.0775217043478261</v>
      </c>
    </row>
    <row r="19" customFormat="false" ht="15" hidden="false" customHeight="false" outlineLevel="0" collapsed="false">
      <c r="A19" s="9" t="s">
        <v>52</v>
      </c>
      <c r="B19" s="39" t="n">
        <f aca="false">IF(Assumptions!$B$7=0,0,Assumptions!$B$11/Assumptions!$B$7)</f>
        <v>287.5</v>
      </c>
    </row>
    <row r="20" customFormat="false" ht="15" hidden="false" customHeight="false" outlineLevel="0" collapsed="false">
      <c r="A20" s="9" t="s">
        <v>168</v>
      </c>
      <c r="B20" s="40" t="n">
        <f aca="false">IF(Assumptions!$B$11=0,0,B11/Assumptions!$B$11)</f>
        <v>0.6</v>
      </c>
    </row>
    <row r="21" customFormat="false" ht="15" hidden="false" customHeight="false" outlineLevel="0" collapsed="false">
      <c r="A21" s="9" t="s">
        <v>169</v>
      </c>
      <c r="B21" s="40" t="n">
        <f aca="false">IF(B8=0,0,B11/B8)</f>
        <v>0.573018311672134</v>
      </c>
    </row>
    <row r="22" customFormat="false" ht="15" hidden="false" customHeight="false" outlineLevel="0" collapsed="false">
      <c r="A22" s="9" t="s">
        <v>170</v>
      </c>
      <c r="B22" s="41" t="n">
        <f aca="false">IF('Cash Flow'!B38=0,"n/a",'Cash Flow'!B23/'Cash Flow'!B38)</f>
        <v>2.06724544927536</v>
      </c>
    </row>
    <row r="23" customFormat="false" ht="15" hidden="false" customHeight="false" outlineLevel="0" collapsed="false">
      <c r="A23" s="9" t="s">
        <v>171</v>
      </c>
      <c r="B23" s="40" t="n">
        <f aca="false">IF(B11=0,"n/a",'Cash Flow'!B23/B11)</f>
        <v>0.12920284057971</v>
      </c>
    </row>
    <row r="24" customFormat="false" ht="15" hidden="false" customHeight="false" outlineLevel="0" collapsed="false">
      <c r="A24" s="9" t="s">
        <v>172</v>
      </c>
      <c r="B24" s="40" t="n">
        <f aca="false">IF(B8=0,0,B12/B8)</f>
        <v>0.426981688327866</v>
      </c>
    </row>
    <row r="26" customFormat="false" ht="15" hidden="false" customHeight="false" outlineLevel="0" collapsed="false">
      <c r="A26" s="3" t="s">
        <v>100</v>
      </c>
      <c r="B26" s="3"/>
      <c r="C26" s="3"/>
    </row>
    <row r="27" customFormat="false" ht="15" hidden="false" customHeight="false" outlineLevel="0" collapsed="false">
      <c r="A27" s="9" t="s">
        <v>101</v>
      </c>
      <c r="B27" s="42" t="n">
        <f aca="false">Assumptions!$B$48</f>
        <v>5</v>
      </c>
    </row>
    <row r="28" customFormat="false" ht="15" hidden="false" customHeight="false" outlineLevel="0" collapsed="false">
      <c r="A28" s="9" t="s">
        <v>173</v>
      </c>
      <c r="B28" s="43" t="n">
        <f aca="false">Assumptions!$B$8+Assumptions!$B$48-1</f>
        <v>2030</v>
      </c>
    </row>
    <row r="29" customFormat="false" ht="15" hidden="false" customHeight="false" outlineLevel="0" collapsed="false">
      <c r="A29" s="9" t="s">
        <v>174</v>
      </c>
      <c r="B29" s="34" t="n">
        <f aca="false">INDEX('Cash Flow'!$B$23:$L$23,Assumptions!$B$48+1)</f>
        <v>2599300.70522593</v>
      </c>
    </row>
    <row r="30" customFormat="false" ht="15" hidden="false" customHeight="false" outlineLevel="0" collapsed="false">
      <c r="A30" s="9" t="s">
        <v>103</v>
      </c>
      <c r="B30" s="38" t="n">
        <f aca="false">Assumptions!$B$49</f>
        <v>0.08</v>
      </c>
    </row>
    <row r="31" customFormat="false" ht="15" hidden="false" customHeight="false" outlineLevel="0" collapsed="false">
      <c r="A31" s="26" t="s">
        <v>175</v>
      </c>
      <c r="B31" s="35" t="n">
        <f aca="false">IF(Assumptions!$B$49=0,0,B29/Assumptions!$B$49)</f>
        <v>32491258.8153241</v>
      </c>
    </row>
    <row r="32" customFormat="false" ht="15" hidden="false" customHeight="false" outlineLevel="0" collapsed="false">
      <c r="A32" s="15" t="s">
        <v>176</v>
      </c>
      <c r="B32" s="44" t="n">
        <f aca="false">IF(Assumptions!$B$7=0,0,B31/Assumptions!$B$7)</f>
        <v>324.912588153241</v>
      </c>
    </row>
    <row r="33" customFormat="false" ht="15" hidden="false" customHeight="false" outlineLevel="0" collapsed="false">
      <c r="A33" s="9" t="s">
        <v>177</v>
      </c>
      <c r="B33" s="34" t="n">
        <f aca="false">-B31*Assumptions!$B$50</f>
        <v>-649825.176306481</v>
      </c>
    </row>
    <row r="34" customFormat="false" ht="15" hidden="false" customHeight="false" outlineLevel="0" collapsed="false">
      <c r="A34" s="26" t="s">
        <v>178</v>
      </c>
      <c r="B34" s="35" t="n">
        <f aca="false">B31+B33</f>
        <v>31841433.6390176</v>
      </c>
    </row>
    <row r="35" customFormat="false" ht="15" hidden="false" customHeight="false" outlineLevel="0" collapsed="false">
      <c r="A35" s="9" t="s">
        <v>179</v>
      </c>
      <c r="B35" s="34" t="n">
        <f aca="false">-INDEX('Cash Flow'!$B$39:$L$39,Assumptions!$B$48)</f>
        <v>-16478573.1470628</v>
      </c>
    </row>
    <row r="36" customFormat="false" ht="15" hidden="false" customHeight="false" outlineLevel="0" collapsed="false">
      <c r="A36" s="26" t="s">
        <v>180</v>
      </c>
      <c r="B36" s="35" t="n">
        <f aca="false">B34+B35</f>
        <v>15362860.4919548</v>
      </c>
    </row>
    <row r="38" customFormat="false" ht="15" hidden="false" customHeight="false" outlineLevel="0" collapsed="false">
      <c r="A38" s="3" t="s">
        <v>181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customFormat="false" ht="15" hidden="false" customHeight="false" outlineLevel="0" collapsed="false">
      <c r="A39" s="26" t="s">
        <v>128</v>
      </c>
      <c r="B39" s="27" t="n">
        <v>0</v>
      </c>
      <c r="C39" s="27" t="n">
        <v>1</v>
      </c>
      <c r="D39" s="27" t="n">
        <v>2</v>
      </c>
      <c r="E39" s="27" t="n">
        <v>3</v>
      </c>
      <c r="F39" s="27" t="n">
        <v>4</v>
      </c>
      <c r="G39" s="27" t="n">
        <v>5</v>
      </c>
      <c r="H39" s="27" t="n">
        <v>6</v>
      </c>
      <c r="I39" s="27" t="n">
        <v>7</v>
      </c>
      <c r="J39" s="27" t="n">
        <v>8</v>
      </c>
      <c r="K39" s="27" t="n">
        <v>9</v>
      </c>
      <c r="L39" s="27" t="n">
        <v>10</v>
      </c>
    </row>
    <row r="40" customFormat="false" ht="15" hidden="false" customHeight="false" outlineLevel="0" collapsed="false">
      <c r="A40" s="45" t="s">
        <v>182</v>
      </c>
      <c r="B40" s="46" t="n">
        <f aca="false">-(B4+B5+B6)</f>
        <v>-29931250</v>
      </c>
      <c r="C40" s="46" t="n">
        <f aca="false">IF(1&gt;Assumptions!$B$48,0,'Cash Flow'!B32+IF(1=Assumptions!$B$48,$B$34,0))</f>
        <v>2128749</v>
      </c>
      <c r="D40" s="46" t="n">
        <f aca="false">IF(2&gt;Assumptions!$B$48,0,'Cash Flow'!C32+IF(2=Assumptions!$B$48,$B$34,0))</f>
        <v>2195905.17</v>
      </c>
      <c r="E40" s="46" t="n">
        <f aca="false">IF(3&gt;Assumptions!$B$48,0,'Cash Flow'!D32+IF(3=Assumptions!$B$48,$B$34,0))</f>
        <v>2265158.3676</v>
      </c>
      <c r="F40" s="46" t="n">
        <f aca="false">IF(4&gt;Assumptions!$B$48,0,'Cash Flow'!E32+IF(4=Assumptions!$B$48,$B$34,0))</f>
        <v>2336573.5621905</v>
      </c>
      <c r="G40" s="46" t="n">
        <f aca="false">IF(5&gt;Assumptions!$B$48,0,'Cash Flow'!F32+IF(5=Assumptions!$B$48,$B$34,0))</f>
        <v>34251651.3627254</v>
      </c>
      <c r="H40" s="46" t="n">
        <f aca="false">IF(6&gt;Assumptions!$B$48,0,'Cash Flow'!G32+IF(6=Assumptions!$B$48,$B$34,0))</f>
        <v>0</v>
      </c>
      <c r="I40" s="46" t="n">
        <f aca="false">IF(7&gt;Assumptions!$B$48,0,'Cash Flow'!H32+IF(7=Assumptions!$B$48,$B$34,0))</f>
        <v>0</v>
      </c>
      <c r="J40" s="46" t="n">
        <f aca="false">IF(8&gt;Assumptions!$B$48,0,'Cash Flow'!I32+IF(8=Assumptions!$B$48,$B$34,0))</f>
        <v>0</v>
      </c>
      <c r="K40" s="46" t="n">
        <f aca="false">IF(9&gt;Assumptions!$B$48,0,'Cash Flow'!J32+IF(9=Assumptions!$B$48,$B$34,0))</f>
        <v>0</v>
      </c>
      <c r="L40" s="46" t="n">
        <f aca="false">IF(10&gt;Assumptions!$B$48,0,'Cash Flow'!K32+IF(10=Assumptions!$B$48,$B$34,0))</f>
        <v>0</v>
      </c>
    </row>
    <row r="41" customFormat="false" ht="15" hidden="false" customHeight="false" outlineLevel="0" collapsed="false">
      <c r="A41" s="45" t="s">
        <v>183</v>
      </c>
      <c r="B41" s="46" t="n">
        <f aca="false">-B14</f>
        <v>-12853750</v>
      </c>
      <c r="C41" s="46" t="n">
        <f aca="false">IF(1&gt;Assumptions!$B$48,0,'Cash Flow'!B32-'Cash Flow'!B38+IF(1=Assumptions!$B$48,$B$36,0))</f>
        <v>1050624</v>
      </c>
      <c r="D41" s="46" t="n">
        <f aca="false">IF(2&gt;Assumptions!$B$48,0,'Cash Flow'!C32-'Cash Flow'!C38+IF(2=Assumptions!$B$48,$B$36,0))</f>
        <v>1117780.17</v>
      </c>
      <c r="E41" s="46" t="n">
        <f aca="false">IF(3&gt;Assumptions!$B$48,0,'Cash Flow'!D32-'Cash Flow'!D38+IF(3=Assumptions!$B$48,$B$36,0))</f>
        <v>945313.325553581</v>
      </c>
      <c r="F41" s="46" t="n">
        <f aca="false">IF(4&gt;Assumptions!$B$48,0,'Cash Flow'!E32-'Cash Flow'!E38+IF(4=Assumptions!$B$48,$B$36,0))</f>
        <v>1016728.52014408</v>
      </c>
      <c r="G41" s="46" t="n">
        <f aca="false">IF(5&gt;Assumptions!$B$48,0,'Cash Flow'!F32-'Cash Flow'!F38+IF(5=Assumptions!$B$48,$B$36,0))</f>
        <v>16453233.1736161</v>
      </c>
      <c r="H41" s="46" t="n">
        <f aca="false">IF(6&gt;Assumptions!$B$48,0,'Cash Flow'!G32-'Cash Flow'!G38+IF(6=Assumptions!$B$48,$B$36,0))</f>
        <v>0</v>
      </c>
      <c r="I41" s="46" t="n">
        <f aca="false">IF(7&gt;Assumptions!$B$48,0,'Cash Flow'!H32-'Cash Flow'!H38+IF(7=Assumptions!$B$48,$B$36,0))</f>
        <v>0</v>
      </c>
      <c r="J41" s="46" t="n">
        <f aca="false">IF(8&gt;Assumptions!$B$48,0,'Cash Flow'!I32-'Cash Flow'!I38+IF(8=Assumptions!$B$48,$B$36,0))</f>
        <v>0</v>
      </c>
      <c r="K41" s="46" t="n">
        <f aca="false">IF(9&gt;Assumptions!$B$48,0,'Cash Flow'!J32-'Cash Flow'!J38+IF(9=Assumptions!$B$48,$B$36,0))</f>
        <v>0</v>
      </c>
      <c r="L41" s="46" t="n">
        <f aca="false">IF(10&gt;Assumptions!$B$48,0,'Cash Flow'!K32-'Cash Flow'!K38+IF(10=Assumptions!$B$48,$B$36,0))</f>
        <v>0</v>
      </c>
    </row>
    <row r="43" customFormat="false" ht="15" hidden="false" customHeight="false" outlineLevel="0" collapsed="false">
      <c r="A43" s="3" t="s">
        <v>184</v>
      </c>
      <c r="B43" s="3"/>
      <c r="C43" s="3"/>
    </row>
    <row r="44" customFormat="false" ht="15" hidden="false" customHeight="false" outlineLevel="0" collapsed="false">
      <c r="A44" s="45" t="s">
        <v>185</v>
      </c>
      <c r="B44" s="47" t="n">
        <f aca="false">IFERROR(IRR(B40:L40),"n/a")</f>
        <v>0.0861107346824447</v>
      </c>
    </row>
    <row r="45" customFormat="false" ht="15" hidden="false" customHeight="false" outlineLevel="0" collapsed="false">
      <c r="A45" s="9" t="s">
        <v>186</v>
      </c>
      <c r="B45" s="41" t="n">
        <f aca="false">IF(B40=0,"n/a",SUMIF(C40:L40,"&gt;0")/-B40)</f>
        <v>1.44257381374035</v>
      </c>
    </row>
    <row r="46" customFormat="false" ht="15" hidden="false" customHeight="false" outlineLevel="0" collapsed="false">
      <c r="A46" s="9" t="s">
        <v>187</v>
      </c>
      <c r="B46" s="34" t="n">
        <f aca="false">SUM(B40:L40)</f>
        <v>13246787.4625159</v>
      </c>
    </row>
    <row r="47" customFormat="false" ht="15" hidden="false" customHeight="false" outlineLevel="0" collapsed="false">
      <c r="A47" s="45" t="s">
        <v>188</v>
      </c>
      <c r="B47" s="48" t="n">
        <f aca="false">IFERROR(IRR(B41:L41),"n/a")</f>
        <v>0.112481140398486</v>
      </c>
    </row>
    <row r="48" customFormat="false" ht="15" hidden="false" customHeight="false" outlineLevel="0" collapsed="false">
      <c r="A48" s="9" t="s">
        <v>189</v>
      </c>
      <c r="B48" s="41" t="n">
        <f aca="false">IF(B41=0,"n/a",SUMIF(C41:L41,"&gt;0")/-B41)</f>
        <v>1.60137541101342</v>
      </c>
    </row>
    <row r="49" customFormat="false" ht="15" hidden="false" customHeight="false" outlineLevel="0" collapsed="false">
      <c r="A49" s="9" t="s">
        <v>190</v>
      </c>
      <c r="B49" s="34" t="n">
        <f aca="false">SUM(B41:L41)</f>
        <v>7729929.18931381</v>
      </c>
    </row>
    <row r="50" customFormat="false" ht="15" hidden="false" customHeight="false" outlineLevel="0" collapsed="false">
      <c r="A50" s="9" t="s">
        <v>191</v>
      </c>
      <c r="B50" s="40" t="n">
        <f aca="false">IF(OR(B14=0,Assumptions!$B$48=0),"n/a",(SUM(C41:L41)-$B$36)/Assumptions!$B$48/B14)</f>
        <v>0.0812341720876635</v>
      </c>
    </row>
    <row r="51" customFormat="false" ht="15" hidden="false" customHeight="false" outlineLevel="0" collapsed="false">
      <c r="A51" s="15" t="s">
        <v>192</v>
      </c>
      <c r="B51" s="37" t="n">
        <f aca="false">B14</f>
        <v>12853750</v>
      </c>
    </row>
  </sheetData>
  <mergeCells count="1">
    <mergeCell ref="A1:L1"/>
  </mergeCells>
  <printOptions headings="false" gridLines="false" gridLinesSet="true" horizontalCentered="false" verticalCentered="false"/>
  <pageMargins left="0.4" right="0.4" top="0.5" bottom="0.5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&amp;R&amp;"Arial,Regular"&amp;8 &amp;A  | 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2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13" min="2" style="0" width="13"/>
  </cols>
  <sheetData>
    <row r="1" customFormat="false" ht="17.35" hidden="false" customHeight="false" outlineLevel="0" collapsed="false">
      <c r="A1" s="1" t="s">
        <v>193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8" t="s">
        <v>194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customFormat="false" ht="15" hidden="false" customHeight="false" outlineLevel="0" collapsed="false">
      <c r="A4" s="26" t="s">
        <v>128</v>
      </c>
      <c r="B4" s="27" t="n">
        <v>0</v>
      </c>
      <c r="C4" s="27" t="n">
        <v>1</v>
      </c>
      <c r="D4" s="27" t="n">
        <v>2</v>
      </c>
      <c r="E4" s="27" t="n">
        <v>3</v>
      </c>
      <c r="F4" s="27" t="n">
        <v>4</v>
      </c>
      <c r="G4" s="27" t="n">
        <v>5</v>
      </c>
      <c r="H4" s="27" t="n">
        <v>6</v>
      </c>
      <c r="I4" s="27" t="n">
        <v>7</v>
      </c>
      <c r="J4" s="27" t="n">
        <v>8</v>
      </c>
      <c r="K4" s="27" t="n">
        <v>9</v>
      </c>
      <c r="L4" s="27" t="n">
        <v>10</v>
      </c>
    </row>
    <row r="6" customFormat="false" ht="15" hidden="false" customHeight="false" outlineLevel="0" collapsed="false">
      <c r="A6" s="3" t="s">
        <v>195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customFormat="false" ht="15" hidden="false" customHeight="false" outlineLevel="0" collapsed="false">
      <c r="A7" s="9" t="s">
        <v>183</v>
      </c>
      <c r="B7" s="34" t="n">
        <f aca="false">Returns!B41</f>
        <v>-12853750</v>
      </c>
      <c r="C7" s="34" t="n">
        <f aca="false">Returns!C41</f>
        <v>1050624</v>
      </c>
      <c r="D7" s="34" t="n">
        <f aca="false">Returns!D41</f>
        <v>1117780.17</v>
      </c>
      <c r="E7" s="34" t="n">
        <f aca="false">Returns!E41</f>
        <v>945313.325553581</v>
      </c>
      <c r="F7" s="34" t="n">
        <f aca="false">Returns!F41</f>
        <v>1016728.52014408</v>
      </c>
      <c r="G7" s="34" t="n">
        <f aca="false">Returns!G41</f>
        <v>16453233.1736161</v>
      </c>
      <c r="H7" s="34" t="n">
        <f aca="false">Returns!H41</f>
        <v>0</v>
      </c>
      <c r="I7" s="34" t="n">
        <f aca="false">Returns!I41</f>
        <v>0</v>
      </c>
      <c r="J7" s="34" t="n">
        <f aca="false">Returns!J41</f>
        <v>0</v>
      </c>
      <c r="K7" s="34" t="n">
        <f aca="false">Returns!K41</f>
        <v>0</v>
      </c>
      <c r="L7" s="34" t="n">
        <f aca="false">Returns!L41</f>
        <v>0</v>
      </c>
    </row>
    <row r="8" customFormat="false" ht="15" hidden="false" customHeight="false" outlineLevel="0" collapsed="false">
      <c r="A8" s="9" t="s">
        <v>196</v>
      </c>
      <c r="B8" s="34" t="n">
        <f aca="false">Returns!$B$14</f>
        <v>12853750</v>
      </c>
      <c r="C8" s="34" t="n">
        <f aca="false">0</f>
        <v>0</v>
      </c>
      <c r="D8" s="34" t="n">
        <f aca="false">0</f>
        <v>0</v>
      </c>
      <c r="E8" s="34" t="n">
        <f aca="false">0</f>
        <v>0</v>
      </c>
      <c r="F8" s="34" t="n">
        <f aca="false">0</f>
        <v>0</v>
      </c>
      <c r="G8" s="34" t="n">
        <f aca="false">0</f>
        <v>0</v>
      </c>
      <c r="H8" s="34" t="n">
        <f aca="false">0</f>
        <v>0</v>
      </c>
      <c r="I8" s="34" t="n">
        <f aca="false">0</f>
        <v>0</v>
      </c>
      <c r="J8" s="34" t="n">
        <f aca="false">0</f>
        <v>0</v>
      </c>
      <c r="K8" s="34" t="n">
        <f aca="false">0</f>
        <v>0</v>
      </c>
      <c r="L8" s="34" t="n">
        <f aca="false">0</f>
        <v>0</v>
      </c>
    </row>
    <row r="9" customFormat="false" ht="15" hidden="false" customHeight="false" outlineLevel="0" collapsed="false">
      <c r="A9" s="26" t="s">
        <v>197</v>
      </c>
      <c r="B9" s="35" t="n">
        <f aca="false">MAX(0,B7)</f>
        <v>0</v>
      </c>
      <c r="C9" s="35" t="n">
        <f aca="false">MAX(0,C7)</f>
        <v>1050624</v>
      </c>
      <c r="D9" s="35" t="n">
        <f aca="false">MAX(0,D7)</f>
        <v>1117780.17</v>
      </c>
      <c r="E9" s="35" t="n">
        <f aca="false">MAX(0,E7)</f>
        <v>945313.325553581</v>
      </c>
      <c r="F9" s="35" t="n">
        <f aca="false">MAX(0,F7)</f>
        <v>1016728.52014408</v>
      </c>
      <c r="G9" s="35" t="n">
        <f aca="false">MAX(0,G7)</f>
        <v>16453233.1736161</v>
      </c>
      <c r="H9" s="35" t="n">
        <f aca="false">MAX(0,H7)</f>
        <v>0</v>
      </c>
      <c r="I9" s="35" t="n">
        <f aca="false">MAX(0,I7)</f>
        <v>0</v>
      </c>
      <c r="J9" s="35" t="n">
        <f aca="false">MAX(0,J7)</f>
        <v>0</v>
      </c>
      <c r="K9" s="35" t="n">
        <f aca="false">MAX(0,K7)</f>
        <v>0</v>
      </c>
      <c r="L9" s="35" t="n">
        <f aca="false">MAX(0,L7)</f>
        <v>0</v>
      </c>
    </row>
    <row r="11" customFormat="false" ht="15" hidden="false" customHeight="false" outlineLevel="0" collapsed="false">
      <c r="A11" s="3" t="s">
        <v>198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5" hidden="false" customHeight="false" outlineLevel="0" collapsed="false">
      <c r="A12" s="9" t="s">
        <v>199</v>
      </c>
      <c r="B12" s="34" t="n">
        <f aca="false">0</f>
        <v>0</v>
      </c>
      <c r="C12" s="34" t="n">
        <f aca="false">IF(1&gt;Assumptions!$B$48,0,B16)</f>
        <v>12853750</v>
      </c>
      <c r="D12" s="34" t="n">
        <f aca="false">IF(2&gt;Assumptions!$B$48,0,C16)</f>
        <v>12831426</v>
      </c>
      <c r="E12" s="34" t="n">
        <f aca="false">IF(3&gt;Assumptions!$B$48,0,D16)</f>
        <v>12740159.91</v>
      </c>
      <c r="F12" s="34" t="n">
        <f aca="false">IF(4&gt;Assumptions!$B$48,0,E16)</f>
        <v>12814059.3772464</v>
      </c>
      <c r="G12" s="34" t="n">
        <f aca="false">IF(5&gt;Assumptions!$B$48,0,F16)</f>
        <v>12822455.6072821</v>
      </c>
      <c r="H12" s="34" t="n">
        <f aca="false">IF(6&gt;Assumptions!$B$48,0,G16)</f>
        <v>0</v>
      </c>
      <c r="I12" s="34" t="n">
        <f aca="false">IF(7&gt;Assumptions!$B$48,0,H16)</f>
        <v>0</v>
      </c>
      <c r="J12" s="34" t="n">
        <f aca="false">IF(8&gt;Assumptions!$B$48,0,I16)</f>
        <v>0</v>
      </c>
      <c r="K12" s="34" t="n">
        <f aca="false">IF(9&gt;Assumptions!$B$48,0,J16)</f>
        <v>0</v>
      </c>
      <c r="L12" s="34" t="n">
        <f aca="false">IF(10&gt;Assumptions!$B$48,0,K16)</f>
        <v>0</v>
      </c>
    </row>
    <row r="13" customFormat="false" ht="15" hidden="false" customHeight="false" outlineLevel="0" collapsed="false">
      <c r="A13" s="9" t="s">
        <v>200</v>
      </c>
      <c r="B13" s="34" t="n">
        <f aca="false">B8</f>
        <v>12853750</v>
      </c>
      <c r="C13" s="34" t="n">
        <f aca="false">C8</f>
        <v>0</v>
      </c>
      <c r="D13" s="34" t="n">
        <f aca="false">D8</f>
        <v>0</v>
      </c>
      <c r="E13" s="34" t="n">
        <f aca="false">E8</f>
        <v>0</v>
      </c>
      <c r="F13" s="34" t="n">
        <f aca="false">F8</f>
        <v>0</v>
      </c>
      <c r="G13" s="34" t="n">
        <f aca="false">G8</f>
        <v>0</v>
      </c>
      <c r="H13" s="34" t="n">
        <f aca="false">H8</f>
        <v>0</v>
      </c>
      <c r="I13" s="34" t="n">
        <f aca="false">I8</f>
        <v>0</v>
      </c>
      <c r="J13" s="34" t="n">
        <f aca="false">J8</f>
        <v>0</v>
      </c>
      <c r="K13" s="34" t="n">
        <f aca="false">K8</f>
        <v>0</v>
      </c>
      <c r="L13" s="34" t="n">
        <f aca="false">L8</f>
        <v>0</v>
      </c>
    </row>
    <row r="14" customFormat="false" ht="15" hidden="false" customHeight="false" outlineLevel="0" collapsed="false">
      <c r="A14" s="9" t="s">
        <v>201</v>
      </c>
      <c r="B14" s="34" t="n">
        <f aca="false">B12*Assumptions!$B$55</f>
        <v>0</v>
      </c>
      <c r="C14" s="34" t="n">
        <f aca="false">C12*Assumptions!$B$55</f>
        <v>1028300</v>
      </c>
      <c r="D14" s="34" t="n">
        <f aca="false">D12*Assumptions!$B$55</f>
        <v>1026514.08</v>
      </c>
      <c r="E14" s="34" t="n">
        <f aca="false">E12*Assumptions!$B$55</f>
        <v>1019212.7928</v>
      </c>
      <c r="F14" s="34" t="n">
        <f aca="false">F12*Assumptions!$B$55</f>
        <v>1025124.75017971</v>
      </c>
      <c r="G14" s="34" t="n">
        <f aca="false">G12*Assumptions!$B$55</f>
        <v>1025796.44858256</v>
      </c>
      <c r="H14" s="34" t="n">
        <f aca="false">H12*Assumptions!$B$55</f>
        <v>0</v>
      </c>
      <c r="I14" s="34" t="n">
        <f aca="false">I12*Assumptions!$B$55</f>
        <v>0</v>
      </c>
      <c r="J14" s="34" t="n">
        <f aca="false">J12*Assumptions!$B$55</f>
        <v>0</v>
      </c>
      <c r="K14" s="34" t="n">
        <f aca="false">K12*Assumptions!$B$55</f>
        <v>0</v>
      </c>
      <c r="L14" s="34" t="n">
        <f aca="false">L12*Assumptions!$B$55</f>
        <v>0</v>
      </c>
    </row>
    <row r="15" customFormat="false" ht="15" hidden="false" customHeight="false" outlineLevel="0" collapsed="false">
      <c r="A15" s="45" t="s">
        <v>202</v>
      </c>
      <c r="B15" s="46" t="n">
        <f aca="false">MIN(B9,B12+B13+B14)</f>
        <v>0</v>
      </c>
      <c r="C15" s="46" t="n">
        <f aca="false">MIN(C9,C12+C13+C14)</f>
        <v>1050624</v>
      </c>
      <c r="D15" s="46" t="n">
        <f aca="false">MIN(D9,D12+D13+D14)</f>
        <v>1117780.17</v>
      </c>
      <c r="E15" s="46" t="n">
        <f aca="false">MIN(E9,E12+E13+E14)</f>
        <v>945313.325553581</v>
      </c>
      <c r="F15" s="46" t="n">
        <f aca="false">MIN(F9,F12+F13+F14)</f>
        <v>1016728.52014408</v>
      </c>
      <c r="G15" s="46" t="n">
        <f aca="false">MIN(G9,G12+G13+G14)</f>
        <v>13848252.0558646</v>
      </c>
      <c r="H15" s="46" t="n">
        <f aca="false">MIN(H9,H12+H13+H14)</f>
        <v>0</v>
      </c>
      <c r="I15" s="46" t="n">
        <f aca="false">MIN(I9,I12+I13+I14)</f>
        <v>0</v>
      </c>
      <c r="J15" s="46" t="n">
        <f aca="false">MIN(J9,J12+J13+J14)</f>
        <v>0</v>
      </c>
      <c r="K15" s="46" t="n">
        <f aca="false">MIN(K9,K12+K13+K14)</f>
        <v>0</v>
      </c>
      <c r="L15" s="46" t="n">
        <f aca="false">MIN(L9,L12+L13+L14)</f>
        <v>0</v>
      </c>
    </row>
    <row r="16" customFormat="false" ht="15" hidden="false" customHeight="false" outlineLevel="0" collapsed="false">
      <c r="A16" s="9" t="s">
        <v>203</v>
      </c>
      <c r="B16" s="49" t="n">
        <f aca="false">MAX(0,B12+B13+B14-B15)</f>
        <v>12853750</v>
      </c>
      <c r="C16" s="49" t="n">
        <f aca="false">MAX(0,C12+C13+C14-C15)</f>
        <v>12831426</v>
      </c>
      <c r="D16" s="49" t="n">
        <f aca="false">MAX(0,D12+D13+D14-D15)</f>
        <v>12740159.91</v>
      </c>
      <c r="E16" s="49" t="n">
        <f aca="false">MAX(0,E12+E13+E14-E15)</f>
        <v>12814059.3772464</v>
      </c>
      <c r="F16" s="49" t="n">
        <f aca="false">MAX(0,F12+F13+F14-F15)</f>
        <v>12822455.6072821</v>
      </c>
      <c r="G16" s="49" t="n">
        <f aca="false">MAX(0,G12+G13+G14-G15)</f>
        <v>0</v>
      </c>
      <c r="H16" s="49" t="n">
        <f aca="false">MAX(0,H12+H13+H14-H15)</f>
        <v>0</v>
      </c>
      <c r="I16" s="49" t="n">
        <f aca="false">MAX(0,I12+I13+I14-I15)</f>
        <v>0</v>
      </c>
      <c r="J16" s="49" t="n">
        <f aca="false">MAX(0,J12+J13+J14-J15)</f>
        <v>0</v>
      </c>
      <c r="K16" s="49" t="n">
        <f aca="false">MAX(0,K12+K13+K14-K15)</f>
        <v>0</v>
      </c>
      <c r="L16" s="49" t="n">
        <f aca="false">MAX(0,L12+L13+L14-L15)</f>
        <v>0</v>
      </c>
    </row>
    <row r="17" customFormat="false" ht="15" hidden="false" customHeight="false" outlineLevel="0" collapsed="false">
      <c r="A17" s="15" t="s">
        <v>204</v>
      </c>
      <c r="B17" s="37" t="n">
        <f aca="false">B9-B15</f>
        <v>0</v>
      </c>
      <c r="C17" s="37" t="n">
        <f aca="false">C9-C15</f>
        <v>0</v>
      </c>
      <c r="D17" s="37" t="n">
        <f aca="false">D9-D15</f>
        <v>0</v>
      </c>
      <c r="E17" s="37" t="n">
        <f aca="false">E9-E15</f>
        <v>0</v>
      </c>
      <c r="F17" s="37" t="n">
        <f aca="false">F9-F15</f>
        <v>0</v>
      </c>
      <c r="G17" s="37" t="n">
        <f aca="false">G9-G15</f>
        <v>2604981.11775153</v>
      </c>
      <c r="H17" s="37" t="n">
        <f aca="false">H9-H15</f>
        <v>0</v>
      </c>
      <c r="I17" s="37" t="n">
        <f aca="false">I9-I15</f>
        <v>0</v>
      </c>
      <c r="J17" s="37" t="n">
        <f aca="false">J9-J15</f>
        <v>0</v>
      </c>
      <c r="K17" s="37" t="n">
        <f aca="false">K9-K15</f>
        <v>0</v>
      </c>
      <c r="L17" s="37" t="n">
        <f aca="false">L9-L15</f>
        <v>0</v>
      </c>
    </row>
    <row r="19" customFormat="false" ht="15" hidden="false" customHeight="false" outlineLevel="0" collapsed="false">
      <c r="A19" s="3" t="s">
        <v>205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customFormat="false" ht="15" hidden="false" customHeight="false" outlineLevel="0" collapsed="false">
      <c r="A20" s="9" t="s">
        <v>199</v>
      </c>
      <c r="B20" s="34" t="n">
        <f aca="false">0</f>
        <v>0</v>
      </c>
      <c r="C20" s="34" t="n">
        <f aca="false">IF(1&gt;Assumptions!$B$48,0,B26)</f>
        <v>12853750</v>
      </c>
      <c r="D20" s="34" t="n">
        <f aca="false">IF(2&gt;Assumptions!$B$48,0,C26)</f>
        <v>13345576</v>
      </c>
      <c r="E20" s="34" t="n">
        <f aca="false">IF(3&gt;Assumptions!$B$48,0,D26)</f>
        <v>13829264.95</v>
      </c>
      <c r="F20" s="34" t="n">
        <f aca="false">IF(4&gt;Assumptions!$B$48,0,E26)</f>
        <v>14543463.4184464</v>
      </c>
      <c r="G20" s="34" t="n">
        <f aca="false">IF(5&gt;Assumptions!$B$48,0,F26)</f>
        <v>15271950.5085159</v>
      </c>
      <c r="H20" s="34" t="n">
        <f aca="false">IF(6&gt;Assumptions!$B$48,0,G26)</f>
        <v>0</v>
      </c>
      <c r="I20" s="34" t="n">
        <f aca="false">IF(7&gt;Assumptions!$B$48,0,H26)</f>
        <v>0</v>
      </c>
      <c r="J20" s="34" t="n">
        <f aca="false">IF(8&gt;Assumptions!$B$48,0,I26)</f>
        <v>0</v>
      </c>
      <c r="K20" s="34" t="n">
        <f aca="false">IF(9&gt;Assumptions!$B$48,0,J26)</f>
        <v>0</v>
      </c>
      <c r="L20" s="34" t="n">
        <f aca="false">IF(10&gt;Assumptions!$B$48,0,K26)</f>
        <v>0</v>
      </c>
    </row>
    <row r="21" customFormat="false" ht="15" hidden="false" customHeight="false" outlineLevel="0" collapsed="false">
      <c r="A21" s="9" t="s">
        <v>200</v>
      </c>
      <c r="B21" s="34" t="n">
        <f aca="false">B8</f>
        <v>12853750</v>
      </c>
      <c r="C21" s="34" t="n">
        <f aca="false">C8</f>
        <v>0</v>
      </c>
      <c r="D21" s="34" t="n">
        <f aca="false">D8</f>
        <v>0</v>
      </c>
      <c r="E21" s="34" t="n">
        <f aca="false">E8</f>
        <v>0</v>
      </c>
      <c r="F21" s="34" t="n">
        <f aca="false">F8</f>
        <v>0</v>
      </c>
      <c r="G21" s="34" t="n">
        <f aca="false">G8</f>
        <v>0</v>
      </c>
      <c r="H21" s="34" t="n">
        <f aca="false">H8</f>
        <v>0</v>
      </c>
      <c r="I21" s="34" t="n">
        <f aca="false">I8</f>
        <v>0</v>
      </c>
      <c r="J21" s="34" t="n">
        <f aca="false">J8</f>
        <v>0</v>
      </c>
      <c r="K21" s="34" t="n">
        <f aca="false">K8</f>
        <v>0</v>
      </c>
      <c r="L21" s="34" t="n">
        <f aca="false">L8</f>
        <v>0</v>
      </c>
    </row>
    <row r="22" customFormat="false" ht="15" hidden="false" customHeight="false" outlineLevel="0" collapsed="false">
      <c r="A22" s="9" t="s">
        <v>201</v>
      </c>
      <c r="B22" s="34" t="n">
        <f aca="false">B20*Assumptions!$B$56</f>
        <v>0</v>
      </c>
      <c r="C22" s="34" t="n">
        <f aca="false">C20*Assumptions!$B$56</f>
        <v>1542450</v>
      </c>
      <c r="D22" s="34" t="n">
        <f aca="false">D20*Assumptions!$B$56</f>
        <v>1601469.12</v>
      </c>
      <c r="E22" s="34" t="n">
        <f aca="false">E20*Assumptions!$B$56</f>
        <v>1659511.794</v>
      </c>
      <c r="F22" s="34" t="n">
        <f aca="false">F20*Assumptions!$B$56</f>
        <v>1745215.61021357</v>
      </c>
      <c r="G22" s="34" t="n">
        <f aca="false">G20*Assumptions!$B$56</f>
        <v>1832634.06102191</v>
      </c>
      <c r="H22" s="34" t="n">
        <f aca="false">H20*Assumptions!$B$56</f>
        <v>0</v>
      </c>
      <c r="I22" s="34" t="n">
        <f aca="false">I20*Assumptions!$B$56</f>
        <v>0</v>
      </c>
      <c r="J22" s="34" t="n">
        <f aca="false">J20*Assumptions!$B$56</f>
        <v>0</v>
      </c>
      <c r="K22" s="34" t="n">
        <f aca="false">K20*Assumptions!$B$56</f>
        <v>0</v>
      </c>
      <c r="L22" s="34" t="n">
        <f aca="false">L20*Assumptions!$B$56</f>
        <v>0</v>
      </c>
    </row>
    <row r="23" customFormat="false" ht="15" hidden="false" customHeight="false" outlineLevel="0" collapsed="false">
      <c r="A23" s="9" t="s">
        <v>206</v>
      </c>
      <c r="B23" s="34" t="n">
        <f aca="false">-B15</f>
        <v>-0</v>
      </c>
      <c r="C23" s="34" t="n">
        <f aca="false">-C15</f>
        <v>-1050624</v>
      </c>
      <c r="D23" s="34" t="n">
        <f aca="false">-D15</f>
        <v>-1117780.17</v>
      </c>
      <c r="E23" s="34" t="n">
        <f aca="false">-E15</f>
        <v>-945313.325553581</v>
      </c>
      <c r="F23" s="34" t="n">
        <f aca="false">-F15</f>
        <v>-1016728.52014408</v>
      </c>
      <c r="G23" s="34" t="n">
        <f aca="false">-G15</f>
        <v>-13848252.0558646</v>
      </c>
      <c r="H23" s="34" t="n">
        <f aca="false">-H15</f>
        <v>-0</v>
      </c>
      <c r="I23" s="34" t="n">
        <f aca="false">-I15</f>
        <v>-0</v>
      </c>
      <c r="J23" s="34" t="n">
        <f aca="false">-J15</f>
        <v>-0</v>
      </c>
      <c r="K23" s="34" t="n">
        <f aca="false">-K15</f>
        <v>-0</v>
      </c>
      <c r="L23" s="34" t="n">
        <f aca="false">-L15</f>
        <v>-0</v>
      </c>
    </row>
    <row r="24" customFormat="false" ht="15" hidden="false" customHeight="false" outlineLevel="0" collapsed="false">
      <c r="A24" s="15" t="s">
        <v>207</v>
      </c>
      <c r="B24" s="37" t="n">
        <f aca="false">MAX(0,B20+B21+B22+B23)</f>
        <v>12853750</v>
      </c>
      <c r="C24" s="37" t="n">
        <f aca="false">MAX(0,C20+C21+C22+C23)</f>
        <v>13345576</v>
      </c>
      <c r="D24" s="37" t="n">
        <f aca="false">MAX(0,D20+D21+D22+D23)</f>
        <v>13829264.95</v>
      </c>
      <c r="E24" s="37" t="n">
        <f aca="false">MAX(0,E20+E21+E22+E23)</f>
        <v>14543463.4184464</v>
      </c>
      <c r="F24" s="37" t="n">
        <f aca="false">MAX(0,F20+F21+F22+F23)</f>
        <v>15271950.5085159</v>
      </c>
      <c r="G24" s="37" t="n">
        <f aca="false">MAX(0,G20+G21+G22+G23)</f>
        <v>3256332.5136732</v>
      </c>
      <c r="H24" s="37" t="n">
        <f aca="false">MAX(0,H20+H21+H22+H23)</f>
        <v>0</v>
      </c>
      <c r="I24" s="37" t="n">
        <f aca="false">MAX(0,I20+I21+I22+I23)</f>
        <v>0</v>
      </c>
      <c r="J24" s="37" t="n">
        <f aca="false">MAX(0,J20+J21+J22+J23)</f>
        <v>0</v>
      </c>
      <c r="K24" s="37" t="n">
        <f aca="false">MAX(0,K20+K21+K22+K23)</f>
        <v>0</v>
      </c>
      <c r="L24" s="37" t="n">
        <f aca="false">MAX(0,L20+L21+L22+L23)</f>
        <v>0</v>
      </c>
    </row>
    <row r="25" customFormat="false" ht="15" hidden="false" customHeight="false" outlineLevel="0" collapsed="false">
      <c r="A25" s="45" t="s">
        <v>208</v>
      </c>
      <c r="B25" s="46" t="n">
        <f aca="false">MIN(B17,IF(1-Assumptions!$B$57=0,B17,B24/(1-Assumptions!$B$57)))</f>
        <v>0</v>
      </c>
      <c r="C25" s="46" t="n">
        <f aca="false">MIN(C17,IF(1-Assumptions!$B$57=0,C17,C24/(1-Assumptions!$B$57)))</f>
        <v>0</v>
      </c>
      <c r="D25" s="46" t="n">
        <f aca="false">MIN(D17,IF(1-Assumptions!$B$57=0,D17,D24/(1-Assumptions!$B$57)))</f>
        <v>0</v>
      </c>
      <c r="E25" s="46" t="n">
        <f aca="false">MIN(E17,IF(1-Assumptions!$B$57=0,E17,E24/(1-Assumptions!$B$57)))</f>
        <v>0</v>
      </c>
      <c r="F25" s="46" t="n">
        <f aca="false">MIN(F17,IF(1-Assumptions!$B$57=0,F17,F24/(1-Assumptions!$B$57)))</f>
        <v>0</v>
      </c>
      <c r="G25" s="46" t="n">
        <f aca="false">MIN(G17,IF(1-Assumptions!$B$57=0,G17,G24/(1-Assumptions!$B$57)))</f>
        <v>2604981.11775153</v>
      </c>
      <c r="H25" s="46" t="n">
        <f aca="false">MIN(H17,IF(1-Assumptions!$B$57=0,H17,H24/(1-Assumptions!$B$57)))</f>
        <v>0</v>
      </c>
      <c r="I25" s="46" t="n">
        <f aca="false">MIN(I17,IF(1-Assumptions!$B$57=0,I17,I24/(1-Assumptions!$B$57)))</f>
        <v>0</v>
      </c>
      <c r="J25" s="46" t="n">
        <f aca="false">MIN(J17,IF(1-Assumptions!$B$57=0,J17,J24/(1-Assumptions!$B$57)))</f>
        <v>0</v>
      </c>
      <c r="K25" s="46" t="n">
        <f aca="false">MIN(K17,IF(1-Assumptions!$B$57=0,K17,K24/(1-Assumptions!$B$57)))</f>
        <v>0</v>
      </c>
      <c r="L25" s="46" t="n">
        <f aca="false">MIN(L17,IF(1-Assumptions!$B$57=0,L17,L24/(1-Assumptions!$B$57)))</f>
        <v>0</v>
      </c>
    </row>
    <row r="26" customFormat="false" ht="15" hidden="false" customHeight="false" outlineLevel="0" collapsed="false">
      <c r="A26" s="9" t="s">
        <v>203</v>
      </c>
      <c r="B26" s="49" t="n">
        <f aca="false">MAX(0,B24-B25*(1-Assumptions!$B$57))</f>
        <v>12853750</v>
      </c>
      <c r="C26" s="49" t="n">
        <f aca="false">MAX(0,C24-C25*(1-Assumptions!$B$57))</f>
        <v>13345576</v>
      </c>
      <c r="D26" s="49" t="n">
        <f aca="false">MAX(0,D24-D25*(1-Assumptions!$B$57))</f>
        <v>13829264.95</v>
      </c>
      <c r="E26" s="49" t="n">
        <f aca="false">MAX(0,E24-E25*(1-Assumptions!$B$57))</f>
        <v>14543463.4184464</v>
      </c>
      <c r="F26" s="49" t="n">
        <f aca="false">MAX(0,F24-F25*(1-Assumptions!$B$57))</f>
        <v>15271950.5085159</v>
      </c>
      <c r="G26" s="49" t="n">
        <f aca="false">MAX(0,G24-G25*(1-Assumptions!$B$57))</f>
        <v>1172347.61947198</v>
      </c>
      <c r="H26" s="49" t="n">
        <f aca="false">MAX(0,H24-H25*(1-Assumptions!$B$57))</f>
        <v>0</v>
      </c>
      <c r="I26" s="49" t="n">
        <f aca="false">MAX(0,I24-I25*(1-Assumptions!$B$57))</f>
        <v>0</v>
      </c>
      <c r="J26" s="49" t="n">
        <f aca="false">MAX(0,J24-J25*(1-Assumptions!$B$57))</f>
        <v>0</v>
      </c>
      <c r="K26" s="49" t="n">
        <f aca="false">MAX(0,K24-K25*(1-Assumptions!$B$57))</f>
        <v>0</v>
      </c>
      <c r="L26" s="49" t="n">
        <f aca="false">MAX(0,L24-L25*(1-Assumptions!$B$57))</f>
        <v>0</v>
      </c>
    </row>
    <row r="27" customFormat="false" ht="15" hidden="false" customHeight="false" outlineLevel="0" collapsed="false">
      <c r="A27" s="50" t="s">
        <v>209</v>
      </c>
      <c r="B27" s="34" t="n">
        <f aca="false">B25*(1-Assumptions!$B$57)</f>
        <v>0</v>
      </c>
      <c r="C27" s="34" t="n">
        <f aca="false">C25*(1-Assumptions!$B$57)</f>
        <v>0</v>
      </c>
      <c r="D27" s="34" t="n">
        <f aca="false">D25*(1-Assumptions!$B$57)</f>
        <v>0</v>
      </c>
      <c r="E27" s="34" t="n">
        <f aca="false">E25*(1-Assumptions!$B$57)</f>
        <v>0</v>
      </c>
      <c r="F27" s="34" t="n">
        <f aca="false">F25*(1-Assumptions!$B$57)</f>
        <v>0</v>
      </c>
      <c r="G27" s="34" t="n">
        <f aca="false">G25*(1-Assumptions!$B$57)</f>
        <v>2083984.89420122</v>
      </c>
      <c r="H27" s="34" t="n">
        <f aca="false">H25*(1-Assumptions!$B$57)</f>
        <v>0</v>
      </c>
      <c r="I27" s="34" t="n">
        <f aca="false">I25*(1-Assumptions!$B$57)</f>
        <v>0</v>
      </c>
      <c r="J27" s="34" t="n">
        <f aca="false">J25*(1-Assumptions!$B$57)</f>
        <v>0</v>
      </c>
      <c r="K27" s="34" t="n">
        <f aca="false">K25*(1-Assumptions!$B$57)</f>
        <v>0</v>
      </c>
      <c r="L27" s="34" t="n">
        <f aca="false">L25*(1-Assumptions!$B$57)</f>
        <v>0</v>
      </c>
    </row>
    <row r="28" customFormat="false" ht="15" hidden="false" customHeight="false" outlineLevel="0" collapsed="false">
      <c r="A28" s="50" t="s">
        <v>210</v>
      </c>
      <c r="B28" s="34" t="n">
        <f aca="false">B25*Assumptions!$B$57</f>
        <v>0</v>
      </c>
      <c r="C28" s="34" t="n">
        <f aca="false">C25*Assumptions!$B$57</f>
        <v>0</v>
      </c>
      <c r="D28" s="34" t="n">
        <f aca="false">D25*Assumptions!$B$57</f>
        <v>0</v>
      </c>
      <c r="E28" s="34" t="n">
        <f aca="false">E25*Assumptions!$B$57</f>
        <v>0</v>
      </c>
      <c r="F28" s="34" t="n">
        <f aca="false">F25*Assumptions!$B$57</f>
        <v>0</v>
      </c>
      <c r="G28" s="34" t="n">
        <f aca="false">G25*Assumptions!$B$57</f>
        <v>520996.223550306</v>
      </c>
      <c r="H28" s="34" t="n">
        <f aca="false">H25*Assumptions!$B$57</f>
        <v>0</v>
      </c>
      <c r="I28" s="34" t="n">
        <f aca="false">I25*Assumptions!$B$57</f>
        <v>0</v>
      </c>
      <c r="J28" s="34" t="n">
        <f aca="false">J25*Assumptions!$B$57</f>
        <v>0</v>
      </c>
      <c r="K28" s="34" t="n">
        <f aca="false">K25*Assumptions!$B$57</f>
        <v>0</v>
      </c>
      <c r="L28" s="34" t="n">
        <f aca="false">L25*Assumptions!$B$57</f>
        <v>0</v>
      </c>
    </row>
    <row r="29" customFormat="false" ht="15" hidden="false" customHeight="false" outlineLevel="0" collapsed="false">
      <c r="A29" s="15" t="s">
        <v>211</v>
      </c>
      <c r="B29" s="37" t="n">
        <f aca="false">B17-B25</f>
        <v>0</v>
      </c>
      <c r="C29" s="37" t="n">
        <f aca="false">C17-C25</f>
        <v>0</v>
      </c>
      <c r="D29" s="37" t="n">
        <f aca="false">D17-D25</f>
        <v>0</v>
      </c>
      <c r="E29" s="37" t="n">
        <f aca="false">E17-E25</f>
        <v>0</v>
      </c>
      <c r="F29" s="37" t="n">
        <f aca="false">F17-F25</f>
        <v>0</v>
      </c>
      <c r="G29" s="37" t="n">
        <f aca="false">G17-G25</f>
        <v>0</v>
      </c>
      <c r="H29" s="37" t="n">
        <f aca="false">H17-H25</f>
        <v>0</v>
      </c>
      <c r="I29" s="37" t="n">
        <f aca="false">I17-I25</f>
        <v>0</v>
      </c>
      <c r="J29" s="37" t="n">
        <f aca="false">J17-J25</f>
        <v>0</v>
      </c>
      <c r="K29" s="37" t="n">
        <f aca="false">K17-K25</f>
        <v>0</v>
      </c>
      <c r="L29" s="37" t="n">
        <f aca="false">L17-L25</f>
        <v>0</v>
      </c>
    </row>
    <row r="31" customFormat="false" ht="15" hidden="false" customHeight="false" outlineLevel="0" collapsed="false">
      <c r="A31" s="3" t="s">
        <v>212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5" hidden="false" customHeight="false" outlineLevel="0" collapsed="false">
      <c r="A32" s="45" t="s">
        <v>213</v>
      </c>
      <c r="B32" s="46" t="n">
        <f aca="false">B29</f>
        <v>0</v>
      </c>
      <c r="C32" s="46" t="n">
        <f aca="false">C29</f>
        <v>0</v>
      </c>
      <c r="D32" s="46" t="n">
        <f aca="false">D29</f>
        <v>0</v>
      </c>
      <c r="E32" s="46" t="n">
        <f aca="false">E29</f>
        <v>0</v>
      </c>
      <c r="F32" s="46" t="n">
        <f aca="false">F29</f>
        <v>0</v>
      </c>
      <c r="G32" s="46" t="n">
        <f aca="false">G29</f>
        <v>0</v>
      </c>
      <c r="H32" s="46" t="n">
        <f aca="false">H29</f>
        <v>0</v>
      </c>
      <c r="I32" s="46" t="n">
        <f aca="false">I29</f>
        <v>0</v>
      </c>
      <c r="J32" s="46" t="n">
        <f aca="false">J29</f>
        <v>0</v>
      </c>
      <c r="K32" s="46" t="n">
        <f aca="false">K29</f>
        <v>0</v>
      </c>
      <c r="L32" s="46" t="n">
        <f aca="false">L29</f>
        <v>0</v>
      </c>
    </row>
    <row r="33" customFormat="false" ht="15" hidden="false" customHeight="false" outlineLevel="0" collapsed="false">
      <c r="A33" s="50" t="s">
        <v>209</v>
      </c>
      <c r="B33" s="34" t="n">
        <f aca="false">B32*(1-Assumptions!$B$58)</f>
        <v>0</v>
      </c>
      <c r="C33" s="34" t="n">
        <f aca="false">C32*(1-Assumptions!$B$58)</f>
        <v>0</v>
      </c>
      <c r="D33" s="34" t="n">
        <f aca="false">D32*(1-Assumptions!$B$58)</f>
        <v>0</v>
      </c>
      <c r="E33" s="34" t="n">
        <f aca="false">E32*(1-Assumptions!$B$58)</f>
        <v>0</v>
      </c>
      <c r="F33" s="34" t="n">
        <f aca="false">F32*(1-Assumptions!$B$58)</f>
        <v>0</v>
      </c>
      <c r="G33" s="34" t="n">
        <f aca="false">G32*(1-Assumptions!$B$58)</f>
        <v>0</v>
      </c>
      <c r="H33" s="34" t="n">
        <f aca="false">H32*(1-Assumptions!$B$58)</f>
        <v>0</v>
      </c>
      <c r="I33" s="34" t="n">
        <f aca="false">I32*(1-Assumptions!$B$58)</f>
        <v>0</v>
      </c>
      <c r="J33" s="34" t="n">
        <f aca="false">J32*(1-Assumptions!$B$58)</f>
        <v>0</v>
      </c>
      <c r="K33" s="34" t="n">
        <f aca="false">K32*(1-Assumptions!$B$58)</f>
        <v>0</v>
      </c>
      <c r="L33" s="34" t="n">
        <f aca="false">L32*(1-Assumptions!$B$58)</f>
        <v>0</v>
      </c>
    </row>
    <row r="34" customFormat="false" ht="15" hidden="false" customHeight="false" outlineLevel="0" collapsed="false">
      <c r="A34" s="50" t="s">
        <v>210</v>
      </c>
      <c r="B34" s="34" t="n">
        <f aca="false">B32*Assumptions!$B$58</f>
        <v>0</v>
      </c>
      <c r="C34" s="34" t="n">
        <f aca="false">C32*Assumptions!$B$58</f>
        <v>0</v>
      </c>
      <c r="D34" s="34" t="n">
        <f aca="false">D32*Assumptions!$B$58</f>
        <v>0</v>
      </c>
      <c r="E34" s="34" t="n">
        <f aca="false">E32*Assumptions!$B$58</f>
        <v>0</v>
      </c>
      <c r="F34" s="34" t="n">
        <f aca="false">F32*Assumptions!$B$58</f>
        <v>0</v>
      </c>
      <c r="G34" s="34" t="n">
        <f aca="false">G32*Assumptions!$B$58</f>
        <v>0</v>
      </c>
      <c r="H34" s="34" t="n">
        <f aca="false">H32*Assumptions!$B$58</f>
        <v>0</v>
      </c>
      <c r="I34" s="34" t="n">
        <f aca="false">I32*Assumptions!$B$58</f>
        <v>0</v>
      </c>
      <c r="J34" s="34" t="n">
        <f aca="false">J32*Assumptions!$B$58</f>
        <v>0</v>
      </c>
      <c r="K34" s="34" t="n">
        <f aca="false">K32*Assumptions!$B$58</f>
        <v>0</v>
      </c>
      <c r="L34" s="34" t="n">
        <f aca="false">L32*Assumptions!$B$58</f>
        <v>0</v>
      </c>
    </row>
    <row r="36" customFormat="false" ht="15" hidden="false" customHeight="false" outlineLevel="0" collapsed="false">
      <c r="A36" s="3" t="s">
        <v>214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customFormat="false" ht="15" hidden="false" customHeight="false" outlineLevel="0" collapsed="false">
      <c r="A37" s="45" t="s">
        <v>215</v>
      </c>
      <c r="B37" s="46" t="n">
        <f aca="false">B15+B27+B33</f>
        <v>0</v>
      </c>
      <c r="C37" s="46" t="n">
        <f aca="false">C15+C27+C33</f>
        <v>1050624</v>
      </c>
      <c r="D37" s="46" t="n">
        <f aca="false">D15+D27+D33</f>
        <v>1117780.17</v>
      </c>
      <c r="E37" s="46" t="n">
        <f aca="false">E15+E27+E33</f>
        <v>945313.325553581</v>
      </c>
      <c r="F37" s="46" t="n">
        <f aca="false">F15+F27+F33</f>
        <v>1016728.52014408</v>
      </c>
      <c r="G37" s="46" t="n">
        <f aca="false">G15+G27+G33</f>
        <v>15932236.9500658</v>
      </c>
      <c r="H37" s="46" t="n">
        <f aca="false">H15+H27+H33</f>
        <v>0</v>
      </c>
      <c r="I37" s="46" t="n">
        <f aca="false">I15+I27+I33</f>
        <v>0</v>
      </c>
      <c r="J37" s="46" t="n">
        <f aca="false">J15+J27+J33</f>
        <v>0</v>
      </c>
      <c r="K37" s="46" t="n">
        <f aca="false">K15+K27+K33</f>
        <v>0</v>
      </c>
      <c r="L37" s="46" t="n">
        <f aca="false">L15+L27+L33</f>
        <v>0</v>
      </c>
    </row>
    <row r="38" customFormat="false" ht="15" hidden="false" customHeight="false" outlineLevel="0" collapsed="false">
      <c r="A38" s="45" t="s">
        <v>216</v>
      </c>
      <c r="B38" s="46" t="n">
        <f aca="false">B28+B34</f>
        <v>0</v>
      </c>
      <c r="C38" s="46" t="n">
        <f aca="false">C28+C34</f>
        <v>0</v>
      </c>
      <c r="D38" s="46" t="n">
        <f aca="false">D28+D34</f>
        <v>0</v>
      </c>
      <c r="E38" s="46" t="n">
        <f aca="false">E28+E34</f>
        <v>0</v>
      </c>
      <c r="F38" s="46" t="n">
        <f aca="false">F28+F34</f>
        <v>0</v>
      </c>
      <c r="G38" s="46" t="n">
        <f aca="false">G28+G34</f>
        <v>520996.223550306</v>
      </c>
      <c r="H38" s="46" t="n">
        <f aca="false">H28+H34</f>
        <v>0</v>
      </c>
      <c r="I38" s="46" t="n">
        <f aca="false">I28+I34</f>
        <v>0</v>
      </c>
      <c r="J38" s="46" t="n">
        <f aca="false">J28+J34</f>
        <v>0</v>
      </c>
      <c r="K38" s="46" t="n">
        <f aca="false">K28+K34</f>
        <v>0</v>
      </c>
      <c r="L38" s="46" t="n">
        <f aca="false">L28+L34</f>
        <v>0</v>
      </c>
    </row>
    <row r="39" customFormat="false" ht="15" hidden="false" customHeight="false" outlineLevel="0" collapsed="false">
      <c r="A39" s="15" t="s">
        <v>217</v>
      </c>
      <c r="B39" s="37" t="n">
        <f aca="false">B37+B38-B9</f>
        <v>0</v>
      </c>
      <c r="C39" s="37" t="n">
        <f aca="false">C37+C38-C9</f>
        <v>0</v>
      </c>
      <c r="D39" s="37" t="n">
        <f aca="false">D37+D38-D9</f>
        <v>0</v>
      </c>
      <c r="E39" s="37" t="n">
        <f aca="false">E37+E38-E9</f>
        <v>0</v>
      </c>
      <c r="F39" s="37" t="n">
        <f aca="false">F37+F38-F9</f>
        <v>0</v>
      </c>
      <c r="G39" s="37" t="n">
        <f aca="false">G37+G38-G9</f>
        <v>0</v>
      </c>
      <c r="H39" s="37" t="n">
        <f aca="false">H37+H38-H9</f>
        <v>0</v>
      </c>
      <c r="I39" s="37" t="n">
        <f aca="false">I37+I38-I9</f>
        <v>0</v>
      </c>
      <c r="J39" s="37" t="n">
        <f aca="false">J37+J38-J9</f>
        <v>0</v>
      </c>
      <c r="K39" s="37" t="n">
        <f aca="false">K37+K38-K9</f>
        <v>0</v>
      </c>
      <c r="L39" s="37" t="n">
        <f aca="false">L37+L38-L9</f>
        <v>0</v>
      </c>
    </row>
    <row r="41" customFormat="false" ht="15" hidden="false" customHeight="false" outlineLevel="0" collapsed="false">
      <c r="A41" s="45" t="s">
        <v>218</v>
      </c>
      <c r="B41" s="46" t="n">
        <f aca="false">-Returns!$B$14*Assumptions!$B$53</f>
        <v>-11568375</v>
      </c>
      <c r="C41" s="46" t="n">
        <f aca="false">C37*Assumptions!$B$53</f>
        <v>945561.6</v>
      </c>
      <c r="D41" s="46" t="n">
        <f aca="false">D37*Assumptions!$B$53</f>
        <v>1006002.153</v>
      </c>
      <c r="E41" s="46" t="n">
        <f aca="false">E37*Assumptions!$B$53</f>
        <v>850781.992998223</v>
      </c>
      <c r="F41" s="46" t="n">
        <f aca="false">F37*Assumptions!$B$53</f>
        <v>915055.668129673</v>
      </c>
      <c r="G41" s="46" t="n">
        <f aca="false">G37*Assumptions!$B$53</f>
        <v>14339013.2550593</v>
      </c>
      <c r="H41" s="46" t="n">
        <f aca="false">H37*Assumptions!$B$53</f>
        <v>0</v>
      </c>
      <c r="I41" s="46" t="n">
        <f aca="false">I37*Assumptions!$B$53</f>
        <v>0</v>
      </c>
      <c r="J41" s="46" t="n">
        <f aca="false">J37*Assumptions!$B$53</f>
        <v>0</v>
      </c>
      <c r="K41" s="46" t="n">
        <f aca="false">K37*Assumptions!$B$53</f>
        <v>0</v>
      </c>
      <c r="L41" s="46" t="n">
        <f aca="false">L37*Assumptions!$B$53</f>
        <v>0</v>
      </c>
    </row>
    <row r="42" customFormat="false" ht="15" hidden="false" customHeight="false" outlineLevel="0" collapsed="false">
      <c r="A42" s="45" t="s">
        <v>219</v>
      </c>
      <c r="B42" s="46" t="n">
        <f aca="false">-Returns!$B$14*Assumptions!$B$54</f>
        <v>-1285375</v>
      </c>
      <c r="C42" s="46" t="n">
        <f aca="false">C37*Assumptions!$B$54+C38</f>
        <v>105062.4</v>
      </c>
      <c r="D42" s="46" t="n">
        <f aca="false">D37*Assumptions!$B$54+D38</f>
        <v>111778.017</v>
      </c>
      <c r="E42" s="46" t="n">
        <f aca="false">E37*Assumptions!$B$54+E38</f>
        <v>94531.3325553581</v>
      </c>
      <c r="F42" s="46" t="n">
        <f aca="false">F37*Assumptions!$B$54+F38</f>
        <v>101672.852014408</v>
      </c>
      <c r="G42" s="46" t="n">
        <f aca="false">G37*Assumptions!$B$54+G38</f>
        <v>2114219.91855689</v>
      </c>
      <c r="H42" s="46" t="n">
        <f aca="false">H37*Assumptions!$B$54+H38</f>
        <v>0</v>
      </c>
      <c r="I42" s="46" t="n">
        <f aca="false">I37*Assumptions!$B$54+I38</f>
        <v>0</v>
      </c>
      <c r="J42" s="46" t="n">
        <f aca="false">J37*Assumptions!$B$54+J38</f>
        <v>0</v>
      </c>
      <c r="K42" s="46" t="n">
        <f aca="false">K37*Assumptions!$B$54+K38</f>
        <v>0</v>
      </c>
      <c r="L42" s="46" t="n">
        <f aca="false">L37*Assumptions!$B$54+L38</f>
        <v>0</v>
      </c>
    </row>
    <row r="44" customFormat="false" ht="15" hidden="false" customHeight="false" outlineLevel="0" collapsed="false">
      <c r="A44" s="3" t="s">
        <v>220</v>
      </c>
      <c r="B44" s="3"/>
      <c r="C44" s="3"/>
    </row>
    <row r="45" customFormat="false" ht="15" hidden="false" customHeight="false" outlineLevel="0" collapsed="false">
      <c r="A45" s="45" t="s">
        <v>221</v>
      </c>
      <c r="B45" s="47" t="n">
        <f aca="false">IFERROR(IRR(B41:L41),"n/a")</f>
        <v>0.106306266703271</v>
      </c>
    </row>
    <row r="46" customFormat="false" ht="15" hidden="false" customHeight="false" outlineLevel="0" collapsed="false">
      <c r="A46" s="9" t="s">
        <v>222</v>
      </c>
      <c r="B46" s="41" t="n">
        <f aca="false">IF(B41=0,"n/a",SUMIF(C41:L41,"&gt;0")/-B41)</f>
        <v>1.5608427864058</v>
      </c>
    </row>
    <row r="47" customFormat="false" ht="15" hidden="false" customHeight="false" outlineLevel="0" collapsed="false">
      <c r="A47" s="9" t="s">
        <v>223</v>
      </c>
      <c r="B47" s="34" t="n">
        <f aca="false">SUM(B41:L41)</f>
        <v>6488039.66918715</v>
      </c>
    </row>
    <row r="48" customFormat="false" ht="15" hidden="false" customHeight="false" outlineLevel="0" collapsed="false">
      <c r="A48" s="45" t="s">
        <v>224</v>
      </c>
      <c r="B48" s="48" t="n">
        <f aca="false">IFERROR(IRR(B42:L42),"n/a")</f>
        <v>0.162373820771263</v>
      </c>
    </row>
    <row r="49" customFormat="false" ht="15" hidden="false" customHeight="false" outlineLevel="0" collapsed="false">
      <c r="A49" s="9" t="s">
        <v>225</v>
      </c>
      <c r="B49" s="41" t="n">
        <f aca="false">IF(B42=0,"n/a",SUMIF(C42:L42,"&gt;0")/-B42)</f>
        <v>1.96616903248208</v>
      </c>
    </row>
    <row r="50" customFormat="false" ht="15" hidden="false" customHeight="false" outlineLevel="0" collapsed="false">
      <c r="A50" s="9" t="s">
        <v>226</v>
      </c>
      <c r="B50" s="34" t="n">
        <f aca="false">SUM(B42:L42)</f>
        <v>1241889.52012666</v>
      </c>
    </row>
    <row r="51" customFormat="false" ht="15" hidden="false" customHeight="false" outlineLevel="0" collapsed="false">
      <c r="A51" s="9" t="s">
        <v>227</v>
      </c>
      <c r="B51" s="49" t="n">
        <f aca="false">SUM(B38:L38)</f>
        <v>520996.223550306</v>
      </c>
    </row>
    <row r="52" customFormat="false" ht="15" hidden="false" customHeight="false" outlineLevel="0" collapsed="false">
      <c r="A52" s="9" t="s">
        <v>228</v>
      </c>
      <c r="B52" s="40" t="n">
        <f aca="false">IF(SUM(B47,B50)=0,"n/a",B50/SUM(B47,B50))</f>
        <v>0.160659883125902</v>
      </c>
    </row>
  </sheetData>
  <mergeCells count="2">
    <mergeCell ref="A1:L1"/>
    <mergeCell ref="A2:L2"/>
  </mergeCells>
  <printOptions headings="false" gridLines="false" gridLinesSet="true" horizontalCentered="false" verticalCentered="false"/>
  <pageMargins left="0.4" right="0.4" top="0.5" bottom="0.5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&amp;R&amp;"Arial,Regular"&amp;8 &amp;A  |  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54"/>
  <sheetViews>
    <sheetView showFormulas="false" showGridLines="fals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0" min="2" style="0" width="13"/>
  </cols>
  <sheetData>
    <row r="1" customFormat="false" ht="17.35" hidden="false" customHeight="false" outlineLevel="0" collapsed="false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8" t="s">
        <v>230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customFormat="false" ht="15" hidden="false" customHeight="false" outlineLevel="0" collapsed="false">
      <c r="A4" s="3" t="s">
        <v>231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51" t="s">
        <v>232</v>
      </c>
      <c r="B5" s="52" t="n">
        <f aca="false">Assumptions!$B$11*(1+-2*Assumptions!$B$61)</f>
        <v>25875000</v>
      </c>
      <c r="C5" s="52" t="n">
        <f aca="false">Assumptions!$B$11*(1+-1*Assumptions!$B$61)</f>
        <v>27312500</v>
      </c>
      <c r="D5" s="52" t="n">
        <f aca="false">Assumptions!$B$11*(1+0*Assumptions!$B$61)</f>
        <v>28750000</v>
      </c>
      <c r="E5" s="52" t="n">
        <f aca="false">Assumptions!$B$11*(1+1*Assumptions!$B$61)</f>
        <v>30187500</v>
      </c>
      <c r="F5" s="52" t="n">
        <f aca="false">Assumptions!$B$11*(1+2*Assumptions!$B$61)</f>
        <v>31625000</v>
      </c>
    </row>
    <row r="6" customFormat="false" ht="15" hidden="false" customHeight="false" outlineLevel="0" collapsed="false">
      <c r="A6" s="53" t="n">
        <f aca="false">Assumptions!$B$49+-2*Assumptions!$B$62/10000</f>
        <v>0.075</v>
      </c>
      <c r="B6" s="54" t="n">
        <f aca="false">S30</f>
        <v>0.188511577558888</v>
      </c>
      <c r="C6" s="54" t="n">
        <f aca="false">S31</f>
        <v>0.161926744173726</v>
      </c>
      <c r="D6" s="54" t="n">
        <f aca="false">S32</f>
        <v>0.136231592054207</v>
      </c>
      <c r="E6" s="54" t="n">
        <f aca="false">S33</f>
        <v>0.111263046986604</v>
      </c>
      <c r="F6" s="54" t="n">
        <f aca="false">S34</f>
        <v>0.0868743848218335</v>
      </c>
    </row>
    <row r="7" customFormat="false" ht="15" hidden="false" customHeight="false" outlineLevel="0" collapsed="false">
      <c r="A7" s="53" t="n">
        <f aca="false">Assumptions!$B$49+-1*Assumptions!$B$62/10000</f>
        <v>0.0775</v>
      </c>
      <c r="B7" s="54" t="n">
        <f aca="false">S35</f>
        <v>0.177271386819344</v>
      </c>
      <c r="C7" s="54" t="n">
        <f aca="false">S36</f>
        <v>0.150329699386437</v>
      </c>
      <c r="D7" s="54" t="n">
        <f aca="false">S37</f>
        <v>0.124241510502211</v>
      </c>
      <c r="E7" s="54" t="n">
        <f aca="false">S38</f>
        <v>0.0988386508227215</v>
      </c>
      <c r="F7" s="54" t="n">
        <f aca="false">S39</f>
        <v>0.0739682157360341</v>
      </c>
    </row>
    <row r="8" customFormat="false" ht="15" hidden="false" customHeight="false" outlineLevel="0" collapsed="false">
      <c r="A8" s="53" t="n">
        <f aca="false">Assumptions!$B$49+0*Assumptions!$B$62/10000</f>
        <v>0.08</v>
      </c>
      <c r="B8" s="54" t="n">
        <f aca="false">S40</f>
        <v>0.166295977216921</v>
      </c>
      <c r="C8" s="54" t="n">
        <f aca="false">S41</f>
        <v>0.138981566808883</v>
      </c>
      <c r="D8" s="55" t="n">
        <f aca="false">S42</f>
        <v>0.112481140398486</v>
      </c>
      <c r="E8" s="54" t="n">
        <f aca="false">S43</f>
        <v>0.0866205622289304</v>
      </c>
      <c r="F8" s="54" t="n">
        <f aca="false">S44</f>
        <v>0.061239610059198</v>
      </c>
    </row>
    <row r="9" customFormat="false" ht="15" hidden="false" customHeight="false" outlineLevel="0" collapsed="false">
      <c r="A9" s="53" t="n">
        <f aca="false">Assumptions!$B$49+1*Assumptions!$B$62/10000</f>
        <v>0.0825</v>
      </c>
      <c r="B9" s="54" t="n">
        <f aca="false">S45</f>
        <v>0.15556262963791</v>
      </c>
      <c r="C9" s="54" t="n">
        <f aca="false">S46</f>
        <v>0.127858915976313</v>
      </c>
      <c r="D9" s="54" t="n">
        <f aca="false">S47</f>
        <v>0.100925974459902</v>
      </c>
      <c r="E9" s="54" t="n">
        <f aca="false">S48</f>
        <v>0.0745826854826081</v>
      </c>
      <c r="F9" s="54" t="n">
        <f aca="false">S49</f>
        <v>0.0486601594698631</v>
      </c>
    </row>
    <row r="10" customFormat="false" ht="15" hidden="false" customHeight="false" outlineLevel="0" collapsed="false">
      <c r="A10" s="53" t="n">
        <f aca="false">Assumptions!$B$49+2*Assumptions!$B$62/10000</f>
        <v>0.085</v>
      </c>
      <c r="B10" s="54" t="n">
        <f aca="false">S50</f>
        <v>0.14505049738297</v>
      </c>
      <c r="C10" s="54" t="n">
        <f aca="false">S51</f>
        <v>0.116940099776174</v>
      </c>
      <c r="D10" s="54" t="n">
        <f aca="false">S52</f>
        <v>0.0895531550149852</v>
      </c>
      <c r="E10" s="54" t="n">
        <f aca="false">S53</f>
        <v>0.0627003684764434</v>
      </c>
      <c r="F10" s="54" t="n">
        <f aca="false">S54</f>
        <v>0.0362025759625035</v>
      </c>
    </row>
    <row r="13" customFormat="false" ht="15" hidden="false" customHeight="false" outlineLevel="0" collapsed="false">
      <c r="A13" s="3" t="s">
        <v>233</v>
      </c>
      <c r="B13" s="3"/>
      <c r="C13" s="3"/>
      <c r="D13" s="3"/>
      <c r="E13" s="3"/>
      <c r="F13" s="3"/>
      <c r="G13" s="3"/>
    </row>
    <row r="14" customFormat="false" ht="15" hidden="false" customHeight="false" outlineLevel="0" collapsed="false">
      <c r="A14" s="51" t="s">
        <v>232</v>
      </c>
      <c r="B14" s="52" t="n">
        <f aca="false">Assumptions!$B$11*(1+-2*Assumptions!$B$61)</f>
        <v>25875000</v>
      </c>
      <c r="C14" s="52" t="n">
        <f aca="false">Assumptions!$B$11*(1+-1*Assumptions!$B$61)</f>
        <v>27312500</v>
      </c>
      <c r="D14" s="52" t="n">
        <f aca="false">Assumptions!$B$11*(1+0*Assumptions!$B$61)</f>
        <v>28750000</v>
      </c>
      <c r="E14" s="52" t="n">
        <f aca="false">Assumptions!$B$11*(1+1*Assumptions!$B$61)</f>
        <v>30187500</v>
      </c>
      <c r="F14" s="52" t="n">
        <f aca="false">Assumptions!$B$11*(1+2*Assumptions!$B$61)</f>
        <v>31625000</v>
      </c>
    </row>
    <row r="15" customFormat="false" ht="15" hidden="false" customHeight="false" outlineLevel="0" collapsed="false">
      <c r="A15" s="53" t="n">
        <f aca="false">Assumptions!$B$49+-2*Assumptions!$B$62/10000</f>
        <v>0.075</v>
      </c>
      <c r="B15" s="56" t="n">
        <f aca="false">T30</f>
        <v>2.14421310481155</v>
      </c>
      <c r="C15" s="56" t="n">
        <f aca="false">T31</f>
        <v>1.94603728768785</v>
      </c>
      <c r="D15" s="56" t="n">
        <f aca="false">T32</f>
        <v>1.76652272153379</v>
      </c>
      <c r="E15" s="56" t="n">
        <f aca="false">T33</f>
        <v>1.6031520703811</v>
      </c>
      <c r="F15" s="56" t="n">
        <f aca="false">T34</f>
        <v>1.45384128800013</v>
      </c>
    </row>
    <row r="16" customFormat="false" ht="15" hidden="false" customHeight="false" outlineLevel="0" collapsed="false">
      <c r="A16" s="53" t="n">
        <f aca="false">Assumptions!$B$49+-1*Assumptions!$B$62/10000</f>
        <v>0.0775</v>
      </c>
      <c r="B16" s="56" t="n">
        <f aca="false">T35</f>
        <v>2.05011502569036</v>
      </c>
      <c r="C16" s="56" t="n">
        <f aca="false">T36</f>
        <v>1.85658848730922</v>
      </c>
      <c r="D16" s="56" t="n">
        <f aca="false">T37</f>
        <v>1.68128539997489</v>
      </c>
      <c r="E16" s="56" t="n">
        <f aca="false">T38</f>
        <v>1.52174748536184</v>
      </c>
      <c r="F16" s="56" t="n">
        <f aca="false">T39</f>
        <v>1.37593958974391</v>
      </c>
    </row>
    <row r="17" customFormat="false" ht="15" hidden="false" customHeight="false" outlineLevel="0" collapsed="false">
      <c r="A17" s="53" t="n">
        <f aca="false">Assumptions!$B$49+0*Assumptions!$B$62/10000</f>
        <v>0.08</v>
      </c>
      <c r="B17" s="56" t="n">
        <f aca="false">T40</f>
        <v>1.96189807651424</v>
      </c>
      <c r="C17" s="56" t="n">
        <f aca="false">T41</f>
        <v>1.77273023695425</v>
      </c>
      <c r="D17" s="57" t="n">
        <f aca="false">T42</f>
        <v>1.60137541101342</v>
      </c>
      <c r="E17" s="56" t="n">
        <f aca="false">T43</f>
        <v>1.44543068690628</v>
      </c>
      <c r="F17" s="56" t="n">
        <f aca="false">T44</f>
        <v>1.30290674762871</v>
      </c>
    </row>
    <row r="18" customFormat="false" ht="15" hidden="false" customHeight="false" outlineLevel="0" collapsed="false">
      <c r="A18" s="53" t="n">
        <f aca="false">Assumptions!$B$49+1*Assumptions!$B$62/10000</f>
        <v>0.0825</v>
      </c>
      <c r="B18" s="56" t="n">
        <f aca="false">T45</f>
        <v>1.87902760910637</v>
      </c>
      <c r="C18" s="56" t="n">
        <f aca="false">T46</f>
        <v>1.69395430480261</v>
      </c>
      <c r="D18" s="56" t="n">
        <f aca="false">T47</f>
        <v>1.52630845168599</v>
      </c>
      <c r="E18" s="56" t="n">
        <f aca="false">T48</f>
        <v>1.37373914896318</v>
      </c>
      <c r="F18" s="56" t="n">
        <f aca="false">T49</f>
        <v>1.23430013836897</v>
      </c>
    </row>
    <row r="19" customFormat="false" ht="15" hidden="false" customHeight="false" outlineLevel="0" collapsed="false">
      <c r="A19" s="53" t="n">
        <f aca="false">Assumptions!$B$49+2*Assumptions!$B$62/10000</f>
        <v>0.085</v>
      </c>
      <c r="B19" s="56" t="n">
        <f aca="false">T50</f>
        <v>1.80103187507544</v>
      </c>
      <c r="C19" s="56" t="n">
        <f aca="false">T51</f>
        <v>1.61981225101284</v>
      </c>
      <c r="D19" s="56" t="n">
        <f aca="false">T52</f>
        <v>1.45565719584839</v>
      </c>
      <c r="E19" s="56" t="n">
        <f aca="false">T53</f>
        <v>1.30626476031085</v>
      </c>
      <c r="F19" s="56" t="n">
        <f aca="false">T54</f>
        <v>1.16972921200687</v>
      </c>
    </row>
    <row r="22" customFormat="false" ht="15" hidden="false" customHeight="false" outlineLevel="0" collapsed="false">
      <c r="A22" s="11" t="s">
        <v>234</v>
      </c>
    </row>
    <row r="27" customFormat="false" ht="15" hidden="false" customHeight="false" outlineLevel="0" collapsed="false">
      <c r="A27" s="3" t="s">
        <v>235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9" customFormat="false" ht="15" hidden="false" customHeight="false" outlineLevel="0" collapsed="false">
      <c r="A29" s="58" t="s">
        <v>236</v>
      </c>
      <c r="B29" s="58" t="s">
        <v>50</v>
      </c>
      <c r="C29" s="58" t="s">
        <v>237</v>
      </c>
      <c r="D29" s="58" t="s">
        <v>238</v>
      </c>
      <c r="E29" s="58" t="s">
        <v>239</v>
      </c>
      <c r="F29" s="58" t="s">
        <v>240</v>
      </c>
      <c r="H29" s="59" t="s">
        <v>241</v>
      </c>
      <c r="I29" s="59" t="s">
        <v>242</v>
      </c>
      <c r="J29" s="59" t="s">
        <v>243</v>
      </c>
      <c r="K29" s="59" t="s">
        <v>244</v>
      </c>
      <c r="L29" s="59" t="s">
        <v>245</v>
      </c>
      <c r="M29" s="59" t="s">
        <v>246</v>
      </c>
      <c r="N29" s="59" t="s">
        <v>247</v>
      </c>
      <c r="O29" s="59" t="s">
        <v>248</v>
      </c>
      <c r="P29" s="59" t="s">
        <v>249</v>
      </c>
      <c r="Q29" s="59" t="s">
        <v>250</v>
      </c>
      <c r="R29" s="59" t="s">
        <v>251</v>
      </c>
      <c r="S29" s="59" t="s">
        <v>252</v>
      </c>
      <c r="T29" s="59" t="s">
        <v>253</v>
      </c>
    </row>
    <row r="30" customFormat="false" ht="15" hidden="false" customHeight="false" outlineLevel="0" collapsed="false">
      <c r="A30" s="60" t="s">
        <v>254</v>
      </c>
      <c r="B30" s="61" t="n">
        <f aca="false">Assumptions!$B$11*(1+-2*Assumptions!$B$61)</f>
        <v>25875000</v>
      </c>
      <c r="C30" s="62" t="n">
        <f aca="false">Assumptions!$B$49+-2*Assumptions!$B$62/10000</f>
        <v>0.075</v>
      </c>
      <c r="D30" s="61" t="n">
        <f aca="false">Assumptions!$B$39*$B$30</f>
        <v>15525000</v>
      </c>
      <c r="E30" s="61" t="n">
        <f aca="false">$B$30+$B$30*Assumptions!$B$13+Assumptions!$B$14+$D$30*Assumptions!$B$43-$D$30</f>
        <v>11643375</v>
      </c>
      <c r="F30" s="61" t="n">
        <f aca="false">IF($C$30=0,0,INDEX('Cash Flow'!$B$23:$L$23,Assumptions!$B$48+1)/$C$30)*(1-Assumptions!$B$50)-INDEX('Cash Flow'!$B$39:$L$39,Assumptions!$B$48)*IF(Assumptions!$B$11=0,0,$B$30/Assumptions!$B$11)</f>
        <v>19133480.0492622</v>
      </c>
      <c r="H30" s="61" t="n">
        <f aca="false">-$E$30</f>
        <v>-11643375</v>
      </c>
      <c r="I30" s="61" t="n">
        <f aca="false">IF(1&gt;Assumptions!$B$48,0,'Cash Flow'!B32-'Cash Flow'!B38*IF(Assumptions!$B$11=0,0,$B$30/Assumptions!$B$11)+IF(1=Assumptions!$B$48,$F$30,0))</f>
        <v>1158436.5</v>
      </c>
      <c r="J30" s="61" t="n">
        <f aca="false">IF(2&gt;Assumptions!$B$48,0,'Cash Flow'!C32-'Cash Flow'!C38*IF(Assumptions!$B$11=0,0,$B$30/Assumptions!$B$11)+IF(2=Assumptions!$B$48,$F$30,0))</f>
        <v>1225592.67</v>
      </c>
      <c r="K30" s="61" t="n">
        <f aca="false">IF(3&gt;Assumptions!$B$48,0,'Cash Flow'!D32-'Cash Flow'!D38*IF(Assumptions!$B$11=0,0,$B$30/Assumptions!$B$11)+IF(3=Assumptions!$B$48,$F$30,0))</f>
        <v>1077297.82975822</v>
      </c>
      <c r="L30" s="61" t="n">
        <f aca="false">IF(4&gt;Assumptions!$B$48,0,'Cash Flow'!E32-'Cash Flow'!E38*IF(Assumptions!$B$11=0,0,$B$30/Assumptions!$B$11)+IF(4=Assumptions!$B$48,$F$30,0))</f>
        <v>1148713.02434872</v>
      </c>
      <c r="M30" s="61" t="n">
        <f aca="false">IF(5&gt;Assumptions!$B$48,0,'Cash Flow'!F32-'Cash Flow'!F38*IF(Assumptions!$B$11=0,0,$B$30/Assumptions!$B$11)+IF(5=Assumptions!$B$48,$F$30,0))</f>
        <v>20355837.2351283</v>
      </c>
      <c r="N30" s="61" t="n">
        <f aca="false">IF(6&gt;Assumptions!$B$48,0,'Cash Flow'!G32-'Cash Flow'!G38*IF(Assumptions!$B$11=0,0,$B$30/Assumptions!$B$11)+IF(6=Assumptions!$B$48,$F$30,0))</f>
        <v>0</v>
      </c>
      <c r="O30" s="61" t="n">
        <f aca="false">IF(7&gt;Assumptions!$B$48,0,'Cash Flow'!H32-'Cash Flow'!H38*IF(Assumptions!$B$11=0,0,$B$30/Assumptions!$B$11)+IF(7=Assumptions!$B$48,$F$30,0))</f>
        <v>0</v>
      </c>
      <c r="P30" s="61" t="n">
        <f aca="false">IF(8&gt;Assumptions!$B$48,0,'Cash Flow'!I32-'Cash Flow'!I38*IF(Assumptions!$B$11=0,0,$B$30/Assumptions!$B$11)+IF(8=Assumptions!$B$48,$F$30,0))</f>
        <v>0</v>
      </c>
      <c r="Q30" s="61" t="n">
        <f aca="false">IF(9&gt;Assumptions!$B$48,0,'Cash Flow'!J32-'Cash Flow'!J38*IF(Assumptions!$B$11=0,0,$B$30/Assumptions!$B$11)+IF(9=Assumptions!$B$48,$F$30,0))</f>
        <v>0</v>
      </c>
      <c r="R30" s="61" t="n">
        <f aca="false">IF(10&gt;Assumptions!$B$48,0,'Cash Flow'!K32-'Cash Flow'!K38*IF(Assumptions!$B$11=0,0,$B$30/Assumptions!$B$11)+IF(10=Assumptions!$B$48,$F$30,0))</f>
        <v>0</v>
      </c>
      <c r="S30" s="62" t="n">
        <f aca="false">IFERROR(IRR(H30:R30),"n/a")</f>
        <v>0.188511577558888</v>
      </c>
      <c r="T30" s="63" t="n">
        <f aca="false">IF($E$30=0,"n/a",SUMIF(I30:R30,"&gt;0")/$E$30)</f>
        <v>2.14421310481155</v>
      </c>
    </row>
    <row r="31" customFormat="false" ht="15" hidden="false" customHeight="false" outlineLevel="0" collapsed="false">
      <c r="A31" s="60" t="s">
        <v>255</v>
      </c>
      <c r="B31" s="61" t="n">
        <f aca="false">Assumptions!$B$11*(1+-1*Assumptions!$B$61)</f>
        <v>27312500</v>
      </c>
      <c r="C31" s="62" t="n">
        <f aca="false">Assumptions!$B$49+-2*Assumptions!$B$62/10000</f>
        <v>0.075</v>
      </c>
      <c r="D31" s="61" t="n">
        <f aca="false">Assumptions!$B$39*$B$31</f>
        <v>16387500</v>
      </c>
      <c r="E31" s="61" t="n">
        <f aca="false">$B$31+$B$31*Assumptions!$B$13+Assumptions!$B$14+$D$31*Assumptions!$B$43-$D$31</f>
        <v>12248562.5</v>
      </c>
      <c r="F31" s="61" t="n">
        <f aca="false">IF($C$31=0,0,INDEX('Cash Flow'!$B$23:$L$23,Assumptions!$B$48+1)/$C$31)*(1-Assumptions!$B$50)-INDEX('Cash Flow'!$B$39:$L$39,Assumptions!$B$48)*IF(Assumptions!$B$11=0,0,$B$31/Assumptions!$B$11)</f>
        <v>18309551.3919091</v>
      </c>
      <c r="H31" s="61" t="n">
        <f aca="false">-$E$31</f>
        <v>-12248562.5</v>
      </c>
      <c r="I31" s="61" t="n">
        <f aca="false">IF(1&gt;Assumptions!$B$48,0,'Cash Flow'!B32-'Cash Flow'!B38*IF(Assumptions!$B$11=0,0,$B$31/Assumptions!$B$11)+IF(1=Assumptions!$B$48,$F$31,0))</f>
        <v>1104530.25</v>
      </c>
      <c r="J31" s="61" t="n">
        <f aca="false">IF(2&gt;Assumptions!$B$48,0,'Cash Flow'!C32-'Cash Flow'!C38*IF(Assumptions!$B$11=0,0,$B$31/Assumptions!$B$11)+IF(2=Assumptions!$B$48,$F$31,0))</f>
        <v>1171686.42</v>
      </c>
      <c r="K31" s="61" t="n">
        <f aca="false">IF(3&gt;Assumptions!$B$48,0,'Cash Flow'!D32-'Cash Flow'!D38*IF(Assumptions!$B$11=0,0,$B$31/Assumptions!$B$11)+IF(3=Assumptions!$B$48,$F$31,0))</f>
        <v>1011305.5776559</v>
      </c>
      <c r="L31" s="61" t="n">
        <f aca="false">IF(4&gt;Assumptions!$B$48,0,'Cash Flow'!E32-'Cash Flow'!E38*IF(Assumptions!$B$11=0,0,$B$31/Assumptions!$B$11)+IF(4=Assumptions!$B$48,$F$31,0))</f>
        <v>1082720.7722464</v>
      </c>
      <c r="M31" s="61" t="n">
        <f aca="false">IF(5&gt;Assumptions!$B$48,0,'Cash Flow'!F32-'Cash Flow'!F38*IF(Assumptions!$B$11=0,0,$B$31/Assumptions!$B$11)+IF(5=Assumptions!$B$48,$F$31,0))</f>
        <v>19465916.3256728</v>
      </c>
      <c r="N31" s="61" t="n">
        <f aca="false">IF(6&gt;Assumptions!$B$48,0,'Cash Flow'!G32-'Cash Flow'!G38*IF(Assumptions!$B$11=0,0,$B$31/Assumptions!$B$11)+IF(6=Assumptions!$B$48,$F$31,0))</f>
        <v>0</v>
      </c>
      <c r="O31" s="61" t="n">
        <f aca="false">IF(7&gt;Assumptions!$B$48,0,'Cash Flow'!H32-'Cash Flow'!H38*IF(Assumptions!$B$11=0,0,$B$31/Assumptions!$B$11)+IF(7=Assumptions!$B$48,$F$31,0))</f>
        <v>0</v>
      </c>
      <c r="P31" s="61" t="n">
        <f aca="false">IF(8&gt;Assumptions!$B$48,0,'Cash Flow'!I32-'Cash Flow'!I38*IF(Assumptions!$B$11=0,0,$B$31/Assumptions!$B$11)+IF(8=Assumptions!$B$48,$F$31,0))</f>
        <v>0</v>
      </c>
      <c r="Q31" s="61" t="n">
        <f aca="false">IF(9&gt;Assumptions!$B$48,0,'Cash Flow'!J32-'Cash Flow'!J38*IF(Assumptions!$B$11=0,0,$B$31/Assumptions!$B$11)+IF(9=Assumptions!$B$48,$F$31,0))</f>
        <v>0</v>
      </c>
      <c r="R31" s="61" t="n">
        <f aca="false">IF(10&gt;Assumptions!$B$48,0,'Cash Flow'!K32-'Cash Flow'!K38*IF(Assumptions!$B$11=0,0,$B$31/Assumptions!$B$11)+IF(10=Assumptions!$B$48,$F$31,0))</f>
        <v>0</v>
      </c>
      <c r="S31" s="62" t="n">
        <f aca="false">IFERROR(IRR(H31:R31),"n/a")</f>
        <v>0.161926744173726</v>
      </c>
      <c r="T31" s="63" t="n">
        <f aca="false">IF($E$31=0,"n/a",SUMIF(I31:R31,"&gt;0")/$E$31)</f>
        <v>1.94603728768785</v>
      </c>
    </row>
    <row r="32" customFormat="false" ht="15" hidden="false" customHeight="false" outlineLevel="0" collapsed="false">
      <c r="A32" s="60" t="s">
        <v>256</v>
      </c>
      <c r="B32" s="61" t="n">
        <f aca="false">Assumptions!$B$11*(1+0*Assumptions!$B$61)</f>
        <v>28750000</v>
      </c>
      <c r="C32" s="62" t="n">
        <f aca="false">Assumptions!$B$49+-2*Assumptions!$B$62/10000</f>
        <v>0.075</v>
      </c>
      <c r="D32" s="61" t="n">
        <f aca="false">Assumptions!$B$39*$B$32</f>
        <v>17250000</v>
      </c>
      <c r="E32" s="61" t="n">
        <f aca="false">$B$32+$B$32*Assumptions!$B$13+Assumptions!$B$14+$D$32*Assumptions!$B$43-$D$32</f>
        <v>12853750</v>
      </c>
      <c r="F32" s="61" t="n">
        <f aca="false">IF($C$32=0,0,INDEX('Cash Flow'!$B$23:$L$23,Assumptions!$B$48+1)/$C$32)*(1-Assumptions!$B$50)-INDEX('Cash Flow'!$B$39:$L$39,Assumptions!$B$48)*IF(Assumptions!$B$11=0,0,$B$32/Assumptions!$B$11)</f>
        <v>17485622.734556</v>
      </c>
      <c r="H32" s="61" t="n">
        <f aca="false">-$E$32</f>
        <v>-12853750</v>
      </c>
      <c r="I32" s="61" t="n">
        <f aca="false">IF(1&gt;Assumptions!$B$48,0,'Cash Flow'!B32-'Cash Flow'!B38*IF(Assumptions!$B$11=0,0,$B$32/Assumptions!$B$11)+IF(1=Assumptions!$B$48,$F$32,0))</f>
        <v>1050624</v>
      </c>
      <c r="J32" s="61" t="n">
        <f aca="false">IF(2&gt;Assumptions!$B$48,0,'Cash Flow'!C32-'Cash Flow'!C38*IF(Assumptions!$B$11=0,0,$B$32/Assumptions!$B$11)+IF(2=Assumptions!$B$48,$F$32,0))</f>
        <v>1117780.17</v>
      </c>
      <c r="K32" s="61" t="n">
        <f aca="false">IF(3&gt;Assumptions!$B$48,0,'Cash Flow'!D32-'Cash Flow'!D38*IF(Assumptions!$B$11=0,0,$B$32/Assumptions!$B$11)+IF(3=Assumptions!$B$48,$F$32,0))</f>
        <v>945313.325553581</v>
      </c>
      <c r="L32" s="61" t="n">
        <f aca="false">IF(4&gt;Assumptions!$B$48,0,'Cash Flow'!E32-'Cash Flow'!E38*IF(Assumptions!$B$11=0,0,$B$32/Assumptions!$B$11)+IF(4=Assumptions!$B$48,$F$32,0))</f>
        <v>1016728.52014408</v>
      </c>
      <c r="M32" s="61" t="n">
        <f aca="false">IF(5&gt;Assumptions!$B$48,0,'Cash Flow'!F32-'Cash Flow'!F38*IF(Assumptions!$B$11=0,0,$B$32/Assumptions!$B$11)+IF(5=Assumptions!$B$48,$F$32,0))</f>
        <v>18575995.4162173</v>
      </c>
      <c r="N32" s="61" t="n">
        <f aca="false">IF(6&gt;Assumptions!$B$48,0,'Cash Flow'!G32-'Cash Flow'!G38*IF(Assumptions!$B$11=0,0,$B$32/Assumptions!$B$11)+IF(6=Assumptions!$B$48,$F$32,0))</f>
        <v>0</v>
      </c>
      <c r="O32" s="61" t="n">
        <f aca="false">IF(7&gt;Assumptions!$B$48,0,'Cash Flow'!H32-'Cash Flow'!H38*IF(Assumptions!$B$11=0,0,$B$32/Assumptions!$B$11)+IF(7=Assumptions!$B$48,$F$32,0))</f>
        <v>0</v>
      </c>
      <c r="P32" s="61" t="n">
        <f aca="false">IF(8&gt;Assumptions!$B$48,0,'Cash Flow'!I32-'Cash Flow'!I38*IF(Assumptions!$B$11=0,0,$B$32/Assumptions!$B$11)+IF(8=Assumptions!$B$48,$F$32,0))</f>
        <v>0</v>
      </c>
      <c r="Q32" s="61" t="n">
        <f aca="false">IF(9&gt;Assumptions!$B$48,0,'Cash Flow'!J32-'Cash Flow'!J38*IF(Assumptions!$B$11=0,0,$B$32/Assumptions!$B$11)+IF(9=Assumptions!$B$48,$F$32,0))</f>
        <v>0</v>
      </c>
      <c r="R32" s="61" t="n">
        <f aca="false">IF(10&gt;Assumptions!$B$48,0,'Cash Flow'!K32-'Cash Flow'!K38*IF(Assumptions!$B$11=0,0,$B$32/Assumptions!$B$11)+IF(10=Assumptions!$B$48,$F$32,0))</f>
        <v>0</v>
      </c>
      <c r="S32" s="62" t="n">
        <f aca="false">IFERROR(IRR(H32:R32),"n/a")</f>
        <v>0.136231592054207</v>
      </c>
      <c r="T32" s="63" t="n">
        <f aca="false">IF($E$32=0,"n/a",SUMIF(I32:R32,"&gt;0")/$E$32)</f>
        <v>1.76652272153379</v>
      </c>
    </row>
    <row r="33" customFormat="false" ht="15" hidden="false" customHeight="false" outlineLevel="0" collapsed="false">
      <c r="A33" s="60" t="s">
        <v>257</v>
      </c>
      <c r="B33" s="61" t="n">
        <f aca="false">Assumptions!$B$11*(1+1*Assumptions!$B$61)</f>
        <v>30187500</v>
      </c>
      <c r="C33" s="62" t="n">
        <f aca="false">Assumptions!$B$49+-2*Assumptions!$B$62/10000</f>
        <v>0.075</v>
      </c>
      <c r="D33" s="61" t="n">
        <f aca="false">Assumptions!$B$39*$B$33</f>
        <v>18112500</v>
      </c>
      <c r="E33" s="61" t="n">
        <f aca="false">$B$33+$B$33*Assumptions!$B$13+Assumptions!$B$14+$D$33*Assumptions!$B$43-$D$33</f>
        <v>13458937.5</v>
      </c>
      <c r="F33" s="61" t="n">
        <f aca="false">IF($C$33=0,0,INDEX('Cash Flow'!$B$23:$L$23,Assumptions!$B$48+1)/$C$33)*(1-Assumptions!$B$50)-INDEX('Cash Flow'!$B$39:$L$39,Assumptions!$B$48)*IF(Assumptions!$B$11=0,0,$B$33/Assumptions!$B$11)</f>
        <v>16661694.0772028</v>
      </c>
      <c r="H33" s="61" t="n">
        <f aca="false">-$E$33</f>
        <v>-13458937.5</v>
      </c>
      <c r="I33" s="61" t="n">
        <f aca="false">IF(1&gt;Assumptions!$B$48,0,'Cash Flow'!B32-'Cash Flow'!B38*IF(Assumptions!$B$11=0,0,$B$33/Assumptions!$B$11)+IF(1=Assumptions!$B$48,$F$33,0))</f>
        <v>996717.75</v>
      </c>
      <c r="J33" s="61" t="n">
        <f aca="false">IF(2&gt;Assumptions!$B$48,0,'Cash Flow'!C32-'Cash Flow'!C38*IF(Assumptions!$B$11=0,0,$B$33/Assumptions!$B$11)+IF(2=Assumptions!$B$48,$F$33,0))</f>
        <v>1063873.92</v>
      </c>
      <c r="K33" s="61" t="n">
        <f aca="false">IF(3&gt;Assumptions!$B$48,0,'Cash Flow'!D32-'Cash Flow'!D38*IF(Assumptions!$B$11=0,0,$B$33/Assumptions!$B$11)+IF(3=Assumptions!$B$48,$F$33,0))</f>
        <v>879321.07345126</v>
      </c>
      <c r="L33" s="61" t="n">
        <f aca="false">IF(4&gt;Assumptions!$B$48,0,'Cash Flow'!E32-'Cash Flow'!E38*IF(Assumptions!$B$11=0,0,$B$33/Assumptions!$B$11)+IF(4=Assumptions!$B$48,$F$33,0))</f>
        <v>950736.26804176</v>
      </c>
      <c r="M33" s="61" t="n">
        <f aca="false">IF(5&gt;Assumptions!$B$48,0,'Cash Flow'!F32-'Cash Flow'!F38*IF(Assumptions!$B$11=0,0,$B$33/Assumptions!$B$11)+IF(5=Assumptions!$B$48,$F$33,0))</f>
        <v>17686074.5067619</v>
      </c>
      <c r="N33" s="61" t="n">
        <f aca="false">IF(6&gt;Assumptions!$B$48,0,'Cash Flow'!G32-'Cash Flow'!G38*IF(Assumptions!$B$11=0,0,$B$33/Assumptions!$B$11)+IF(6=Assumptions!$B$48,$F$33,0))</f>
        <v>0</v>
      </c>
      <c r="O33" s="61" t="n">
        <f aca="false">IF(7&gt;Assumptions!$B$48,0,'Cash Flow'!H32-'Cash Flow'!H38*IF(Assumptions!$B$11=0,0,$B$33/Assumptions!$B$11)+IF(7=Assumptions!$B$48,$F$33,0))</f>
        <v>0</v>
      </c>
      <c r="P33" s="61" t="n">
        <f aca="false">IF(8&gt;Assumptions!$B$48,0,'Cash Flow'!I32-'Cash Flow'!I38*IF(Assumptions!$B$11=0,0,$B$33/Assumptions!$B$11)+IF(8=Assumptions!$B$48,$F$33,0))</f>
        <v>0</v>
      </c>
      <c r="Q33" s="61" t="n">
        <f aca="false">IF(9&gt;Assumptions!$B$48,0,'Cash Flow'!J32-'Cash Flow'!J38*IF(Assumptions!$B$11=0,0,$B$33/Assumptions!$B$11)+IF(9=Assumptions!$B$48,$F$33,0))</f>
        <v>0</v>
      </c>
      <c r="R33" s="61" t="n">
        <f aca="false">IF(10&gt;Assumptions!$B$48,0,'Cash Flow'!K32-'Cash Flow'!K38*IF(Assumptions!$B$11=0,0,$B$33/Assumptions!$B$11)+IF(10=Assumptions!$B$48,$F$33,0))</f>
        <v>0</v>
      </c>
      <c r="S33" s="62" t="n">
        <f aca="false">IFERROR(IRR(H33:R33),"n/a")</f>
        <v>0.111263046986604</v>
      </c>
      <c r="T33" s="63" t="n">
        <f aca="false">IF($E$33=0,"n/a",SUMIF(I33:R33,"&gt;0")/$E$33)</f>
        <v>1.6031520703811</v>
      </c>
    </row>
    <row r="34" customFormat="false" ht="15" hidden="false" customHeight="false" outlineLevel="0" collapsed="false">
      <c r="A34" s="60" t="s">
        <v>258</v>
      </c>
      <c r="B34" s="61" t="n">
        <f aca="false">Assumptions!$B$11*(1+2*Assumptions!$B$61)</f>
        <v>31625000</v>
      </c>
      <c r="C34" s="62" t="n">
        <f aca="false">Assumptions!$B$49+-2*Assumptions!$B$62/10000</f>
        <v>0.075</v>
      </c>
      <c r="D34" s="61" t="n">
        <f aca="false">Assumptions!$B$39*$B$34</f>
        <v>18975000</v>
      </c>
      <c r="E34" s="61" t="n">
        <f aca="false">$B$34+$B$34*Assumptions!$B$13+Assumptions!$B$14+$D$34*Assumptions!$B$43-$D$34</f>
        <v>14064125</v>
      </c>
      <c r="F34" s="61" t="n">
        <f aca="false">IF($C$34=0,0,INDEX('Cash Flow'!$B$23:$L$23,Assumptions!$B$48+1)/$C$34)*(1-Assumptions!$B$50)-INDEX('Cash Flow'!$B$39:$L$39,Assumptions!$B$48)*IF(Assumptions!$B$11=0,0,$B$34/Assumptions!$B$11)</f>
        <v>15837765.4198497</v>
      </c>
      <c r="H34" s="61" t="n">
        <f aca="false">-$E$34</f>
        <v>-14064125</v>
      </c>
      <c r="I34" s="61" t="n">
        <f aca="false">IF(1&gt;Assumptions!$B$48,0,'Cash Flow'!B32-'Cash Flow'!B38*IF(Assumptions!$B$11=0,0,$B$34/Assumptions!$B$11)+IF(1=Assumptions!$B$48,$F$34,0))</f>
        <v>942811.5</v>
      </c>
      <c r="J34" s="61" t="n">
        <f aca="false">IF(2&gt;Assumptions!$B$48,0,'Cash Flow'!C32-'Cash Flow'!C38*IF(Assumptions!$B$11=0,0,$B$34/Assumptions!$B$11)+IF(2=Assumptions!$B$48,$F$34,0))</f>
        <v>1009967.67</v>
      </c>
      <c r="K34" s="61" t="n">
        <f aca="false">IF(3&gt;Assumptions!$B$48,0,'Cash Flow'!D32-'Cash Flow'!D38*IF(Assumptions!$B$11=0,0,$B$34/Assumptions!$B$11)+IF(3=Assumptions!$B$48,$F$34,0))</f>
        <v>813328.821348939</v>
      </c>
      <c r="L34" s="61" t="n">
        <f aca="false">IF(4&gt;Assumptions!$B$48,0,'Cash Flow'!E32-'Cash Flow'!E38*IF(Assumptions!$B$11=0,0,$B$34/Assumptions!$B$11)+IF(4=Assumptions!$B$48,$F$34,0))</f>
        <v>884744.015939439</v>
      </c>
      <c r="M34" s="61" t="n">
        <f aca="false">IF(5&gt;Assumptions!$B$48,0,'Cash Flow'!F32-'Cash Flow'!F38*IF(Assumptions!$B$11=0,0,$B$34/Assumptions!$B$11)+IF(5=Assumptions!$B$48,$F$34,0))</f>
        <v>16796153.5973064</v>
      </c>
      <c r="N34" s="61" t="n">
        <f aca="false">IF(6&gt;Assumptions!$B$48,0,'Cash Flow'!G32-'Cash Flow'!G38*IF(Assumptions!$B$11=0,0,$B$34/Assumptions!$B$11)+IF(6=Assumptions!$B$48,$F$34,0))</f>
        <v>0</v>
      </c>
      <c r="O34" s="61" t="n">
        <f aca="false">IF(7&gt;Assumptions!$B$48,0,'Cash Flow'!H32-'Cash Flow'!H38*IF(Assumptions!$B$11=0,0,$B$34/Assumptions!$B$11)+IF(7=Assumptions!$B$48,$F$34,0))</f>
        <v>0</v>
      </c>
      <c r="P34" s="61" t="n">
        <f aca="false">IF(8&gt;Assumptions!$B$48,0,'Cash Flow'!I32-'Cash Flow'!I38*IF(Assumptions!$B$11=0,0,$B$34/Assumptions!$B$11)+IF(8=Assumptions!$B$48,$F$34,0))</f>
        <v>0</v>
      </c>
      <c r="Q34" s="61" t="n">
        <f aca="false">IF(9&gt;Assumptions!$B$48,0,'Cash Flow'!J32-'Cash Flow'!J38*IF(Assumptions!$B$11=0,0,$B$34/Assumptions!$B$11)+IF(9=Assumptions!$B$48,$F$34,0))</f>
        <v>0</v>
      </c>
      <c r="R34" s="61" t="n">
        <f aca="false">IF(10&gt;Assumptions!$B$48,0,'Cash Flow'!K32-'Cash Flow'!K38*IF(Assumptions!$B$11=0,0,$B$34/Assumptions!$B$11)+IF(10=Assumptions!$B$48,$F$34,0))</f>
        <v>0</v>
      </c>
      <c r="S34" s="62" t="n">
        <f aca="false">IFERROR(IRR(H34:R34),"n/a")</f>
        <v>0.0868743848218335</v>
      </c>
      <c r="T34" s="63" t="n">
        <f aca="false">IF($E$34=0,"n/a",SUMIF(I34:R34,"&gt;0")/$E$34)</f>
        <v>1.45384128800013</v>
      </c>
    </row>
    <row r="35" customFormat="false" ht="15" hidden="false" customHeight="false" outlineLevel="0" collapsed="false">
      <c r="A35" s="60" t="s">
        <v>259</v>
      </c>
      <c r="B35" s="61" t="n">
        <f aca="false">Assumptions!$B$11*(1+-2*Assumptions!$B$61)</f>
        <v>25875000</v>
      </c>
      <c r="C35" s="62" t="n">
        <f aca="false">Assumptions!$B$49+-1*Assumptions!$B$62/10000</f>
        <v>0.0775</v>
      </c>
      <c r="D35" s="61" t="n">
        <f aca="false">Assumptions!$B$39*$B$35</f>
        <v>15525000</v>
      </c>
      <c r="E35" s="61" t="n">
        <f aca="false">$B$35+$B$35*Assumptions!$B$13+Assumptions!$B$14+$D$35*Assumptions!$B$43-$D$35</f>
        <v>11643375</v>
      </c>
      <c r="F35" s="61" t="n">
        <f aca="false">IF($C$35=0,0,INDEX('Cash Flow'!$B$23:$L$23,Assumptions!$B$48+1)/$C$35)*(1-Assumptions!$B$50)-INDEX('Cash Flow'!$B$39:$L$39,Assumptions!$B$48)*IF(Assumptions!$B$11=0,0,$B$35/Assumptions!$B$11)</f>
        <v>18037860.8272745</v>
      </c>
      <c r="H35" s="61" t="n">
        <f aca="false">-$E$35</f>
        <v>-11643375</v>
      </c>
      <c r="I35" s="61" t="n">
        <f aca="false">IF(1&gt;Assumptions!$B$48,0,'Cash Flow'!B32-'Cash Flow'!B38*IF(Assumptions!$B$11=0,0,$B$35/Assumptions!$B$11)+IF(1=Assumptions!$B$48,$F$35,0))</f>
        <v>1158436.5</v>
      </c>
      <c r="J35" s="61" t="n">
        <f aca="false">IF(2&gt;Assumptions!$B$48,0,'Cash Flow'!C32-'Cash Flow'!C38*IF(Assumptions!$B$11=0,0,$B$35/Assumptions!$B$11)+IF(2=Assumptions!$B$48,$F$35,0))</f>
        <v>1225592.67</v>
      </c>
      <c r="K35" s="61" t="n">
        <f aca="false">IF(3&gt;Assumptions!$B$48,0,'Cash Flow'!D32-'Cash Flow'!D38*IF(Assumptions!$B$11=0,0,$B$35/Assumptions!$B$11)+IF(3=Assumptions!$B$48,$F$35,0))</f>
        <v>1077297.82975822</v>
      </c>
      <c r="L35" s="61" t="n">
        <f aca="false">IF(4&gt;Assumptions!$B$48,0,'Cash Flow'!E32-'Cash Flow'!E38*IF(Assumptions!$B$11=0,0,$B$35/Assumptions!$B$11)+IF(4=Assumptions!$B$48,$F$35,0))</f>
        <v>1148713.02434872</v>
      </c>
      <c r="M35" s="61" t="n">
        <f aca="false">IF(5&gt;Assumptions!$B$48,0,'Cash Flow'!F32-'Cash Flow'!F38*IF(Assumptions!$B$11=0,0,$B$35/Assumptions!$B$11)+IF(5=Assumptions!$B$48,$F$35,0))</f>
        <v>19260218.0131405</v>
      </c>
      <c r="N35" s="61" t="n">
        <f aca="false">IF(6&gt;Assumptions!$B$48,0,'Cash Flow'!G32-'Cash Flow'!G38*IF(Assumptions!$B$11=0,0,$B$35/Assumptions!$B$11)+IF(6=Assumptions!$B$48,$F$35,0))</f>
        <v>0</v>
      </c>
      <c r="O35" s="61" t="n">
        <f aca="false">IF(7&gt;Assumptions!$B$48,0,'Cash Flow'!H32-'Cash Flow'!H38*IF(Assumptions!$B$11=0,0,$B$35/Assumptions!$B$11)+IF(7=Assumptions!$B$48,$F$35,0))</f>
        <v>0</v>
      </c>
      <c r="P35" s="61" t="n">
        <f aca="false">IF(8&gt;Assumptions!$B$48,0,'Cash Flow'!I32-'Cash Flow'!I38*IF(Assumptions!$B$11=0,0,$B$35/Assumptions!$B$11)+IF(8=Assumptions!$B$48,$F$35,0))</f>
        <v>0</v>
      </c>
      <c r="Q35" s="61" t="n">
        <f aca="false">IF(9&gt;Assumptions!$B$48,0,'Cash Flow'!J32-'Cash Flow'!J38*IF(Assumptions!$B$11=0,0,$B$35/Assumptions!$B$11)+IF(9=Assumptions!$B$48,$F$35,0))</f>
        <v>0</v>
      </c>
      <c r="R35" s="61" t="n">
        <f aca="false">IF(10&gt;Assumptions!$B$48,0,'Cash Flow'!K32-'Cash Flow'!K38*IF(Assumptions!$B$11=0,0,$B$35/Assumptions!$B$11)+IF(10=Assumptions!$B$48,$F$35,0))</f>
        <v>0</v>
      </c>
      <c r="S35" s="62" t="n">
        <f aca="false">IFERROR(IRR(H35:R35),"n/a")</f>
        <v>0.177271386819344</v>
      </c>
      <c r="T35" s="63" t="n">
        <f aca="false">IF($E$35=0,"n/a",SUMIF(I35:R35,"&gt;0")/$E$35)</f>
        <v>2.05011502569036</v>
      </c>
    </row>
    <row r="36" customFormat="false" ht="15" hidden="false" customHeight="false" outlineLevel="0" collapsed="false">
      <c r="A36" s="60" t="s">
        <v>260</v>
      </c>
      <c r="B36" s="61" t="n">
        <f aca="false">Assumptions!$B$11*(1+-1*Assumptions!$B$61)</f>
        <v>27312500</v>
      </c>
      <c r="C36" s="62" t="n">
        <f aca="false">Assumptions!$B$49+-1*Assumptions!$B$62/10000</f>
        <v>0.0775</v>
      </c>
      <c r="D36" s="61" t="n">
        <f aca="false">Assumptions!$B$39*$B$36</f>
        <v>16387500</v>
      </c>
      <c r="E36" s="61" t="n">
        <f aca="false">$B$36+$B$36*Assumptions!$B$13+Assumptions!$B$14+$D$36*Assumptions!$B$43-$D$36</f>
        <v>12248562.5</v>
      </c>
      <c r="F36" s="61" t="n">
        <f aca="false">IF($C$36=0,0,INDEX('Cash Flow'!$B$23:$L$23,Assumptions!$B$48+1)/$C$36)*(1-Assumptions!$B$50)-INDEX('Cash Flow'!$B$39:$L$39,Assumptions!$B$48)*IF(Assumptions!$B$11=0,0,$B$36/Assumptions!$B$11)</f>
        <v>17213932.1699214</v>
      </c>
      <c r="H36" s="61" t="n">
        <f aca="false">-$E$36</f>
        <v>-12248562.5</v>
      </c>
      <c r="I36" s="61" t="n">
        <f aca="false">IF(1&gt;Assumptions!$B$48,0,'Cash Flow'!B32-'Cash Flow'!B38*IF(Assumptions!$B$11=0,0,$B$36/Assumptions!$B$11)+IF(1=Assumptions!$B$48,$F$36,0))</f>
        <v>1104530.25</v>
      </c>
      <c r="J36" s="61" t="n">
        <f aca="false">IF(2&gt;Assumptions!$B$48,0,'Cash Flow'!C32-'Cash Flow'!C38*IF(Assumptions!$B$11=0,0,$B$36/Assumptions!$B$11)+IF(2=Assumptions!$B$48,$F$36,0))</f>
        <v>1171686.42</v>
      </c>
      <c r="K36" s="61" t="n">
        <f aca="false">IF(3&gt;Assumptions!$B$48,0,'Cash Flow'!D32-'Cash Flow'!D38*IF(Assumptions!$B$11=0,0,$B$36/Assumptions!$B$11)+IF(3=Assumptions!$B$48,$F$36,0))</f>
        <v>1011305.5776559</v>
      </c>
      <c r="L36" s="61" t="n">
        <f aca="false">IF(4&gt;Assumptions!$B$48,0,'Cash Flow'!E32-'Cash Flow'!E38*IF(Assumptions!$B$11=0,0,$B$36/Assumptions!$B$11)+IF(4=Assumptions!$B$48,$F$36,0))</f>
        <v>1082720.7722464</v>
      </c>
      <c r="M36" s="61" t="n">
        <f aca="false">IF(5&gt;Assumptions!$B$48,0,'Cash Flow'!F32-'Cash Flow'!F38*IF(Assumptions!$B$11=0,0,$B$36/Assumptions!$B$11)+IF(5=Assumptions!$B$48,$F$36,0))</f>
        <v>18370297.1036851</v>
      </c>
      <c r="N36" s="61" t="n">
        <f aca="false">IF(6&gt;Assumptions!$B$48,0,'Cash Flow'!G32-'Cash Flow'!G38*IF(Assumptions!$B$11=0,0,$B$36/Assumptions!$B$11)+IF(6=Assumptions!$B$48,$F$36,0))</f>
        <v>0</v>
      </c>
      <c r="O36" s="61" t="n">
        <f aca="false">IF(7&gt;Assumptions!$B$48,0,'Cash Flow'!H32-'Cash Flow'!H38*IF(Assumptions!$B$11=0,0,$B$36/Assumptions!$B$11)+IF(7=Assumptions!$B$48,$F$36,0))</f>
        <v>0</v>
      </c>
      <c r="P36" s="61" t="n">
        <f aca="false">IF(8&gt;Assumptions!$B$48,0,'Cash Flow'!I32-'Cash Flow'!I38*IF(Assumptions!$B$11=0,0,$B$36/Assumptions!$B$11)+IF(8=Assumptions!$B$48,$F$36,0))</f>
        <v>0</v>
      </c>
      <c r="Q36" s="61" t="n">
        <f aca="false">IF(9&gt;Assumptions!$B$48,0,'Cash Flow'!J32-'Cash Flow'!J38*IF(Assumptions!$B$11=0,0,$B$36/Assumptions!$B$11)+IF(9=Assumptions!$B$48,$F$36,0))</f>
        <v>0</v>
      </c>
      <c r="R36" s="61" t="n">
        <f aca="false">IF(10&gt;Assumptions!$B$48,0,'Cash Flow'!K32-'Cash Flow'!K38*IF(Assumptions!$B$11=0,0,$B$36/Assumptions!$B$11)+IF(10=Assumptions!$B$48,$F$36,0))</f>
        <v>0</v>
      </c>
      <c r="S36" s="62" t="n">
        <f aca="false">IFERROR(IRR(H36:R36),"n/a")</f>
        <v>0.150329699386437</v>
      </c>
      <c r="T36" s="63" t="n">
        <f aca="false">IF($E$36=0,"n/a",SUMIF(I36:R36,"&gt;0")/$E$36)</f>
        <v>1.85658848730922</v>
      </c>
    </row>
    <row r="37" customFormat="false" ht="15" hidden="false" customHeight="false" outlineLevel="0" collapsed="false">
      <c r="A37" s="60" t="s">
        <v>261</v>
      </c>
      <c r="B37" s="61" t="n">
        <f aca="false">Assumptions!$B$11*(1+0*Assumptions!$B$61)</f>
        <v>28750000</v>
      </c>
      <c r="C37" s="62" t="n">
        <f aca="false">Assumptions!$B$49+-1*Assumptions!$B$62/10000</f>
        <v>0.0775</v>
      </c>
      <c r="D37" s="61" t="n">
        <f aca="false">Assumptions!$B$39*$B$37</f>
        <v>17250000</v>
      </c>
      <c r="E37" s="61" t="n">
        <f aca="false">$B$37+$B$37*Assumptions!$B$13+Assumptions!$B$14+$D$37*Assumptions!$B$43-$D$37</f>
        <v>12853750</v>
      </c>
      <c r="F37" s="61" t="n">
        <f aca="false">IF($C$37=0,0,INDEX('Cash Flow'!$B$23:$L$23,Assumptions!$B$48+1)/$C$37)*(1-Assumptions!$B$50)-INDEX('Cash Flow'!$B$39:$L$39,Assumptions!$B$48)*IF(Assumptions!$B$11=0,0,$B$37/Assumptions!$B$11)</f>
        <v>16390003.5125683</v>
      </c>
      <c r="H37" s="61" t="n">
        <f aca="false">-$E$37</f>
        <v>-12853750</v>
      </c>
      <c r="I37" s="61" t="n">
        <f aca="false">IF(1&gt;Assumptions!$B$48,0,'Cash Flow'!B32-'Cash Flow'!B38*IF(Assumptions!$B$11=0,0,$B$37/Assumptions!$B$11)+IF(1=Assumptions!$B$48,$F$37,0))</f>
        <v>1050624</v>
      </c>
      <c r="J37" s="61" t="n">
        <f aca="false">IF(2&gt;Assumptions!$B$48,0,'Cash Flow'!C32-'Cash Flow'!C38*IF(Assumptions!$B$11=0,0,$B$37/Assumptions!$B$11)+IF(2=Assumptions!$B$48,$F$37,0))</f>
        <v>1117780.17</v>
      </c>
      <c r="K37" s="61" t="n">
        <f aca="false">IF(3&gt;Assumptions!$B$48,0,'Cash Flow'!D32-'Cash Flow'!D38*IF(Assumptions!$B$11=0,0,$B$37/Assumptions!$B$11)+IF(3=Assumptions!$B$48,$F$37,0))</f>
        <v>945313.325553581</v>
      </c>
      <c r="L37" s="61" t="n">
        <f aca="false">IF(4&gt;Assumptions!$B$48,0,'Cash Flow'!E32-'Cash Flow'!E38*IF(Assumptions!$B$11=0,0,$B$37/Assumptions!$B$11)+IF(4=Assumptions!$B$48,$F$37,0))</f>
        <v>1016728.52014408</v>
      </c>
      <c r="M37" s="61" t="n">
        <f aca="false">IF(5&gt;Assumptions!$B$48,0,'Cash Flow'!F32-'Cash Flow'!F38*IF(Assumptions!$B$11=0,0,$B$37/Assumptions!$B$11)+IF(5=Assumptions!$B$48,$F$37,0))</f>
        <v>17480376.1942296</v>
      </c>
      <c r="N37" s="61" t="n">
        <f aca="false">IF(6&gt;Assumptions!$B$48,0,'Cash Flow'!G32-'Cash Flow'!G38*IF(Assumptions!$B$11=0,0,$B$37/Assumptions!$B$11)+IF(6=Assumptions!$B$48,$F$37,0))</f>
        <v>0</v>
      </c>
      <c r="O37" s="61" t="n">
        <f aca="false">IF(7&gt;Assumptions!$B$48,0,'Cash Flow'!H32-'Cash Flow'!H38*IF(Assumptions!$B$11=0,0,$B$37/Assumptions!$B$11)+IF(7=Assumptions!$B$48,$F$37,0))</f>
        <v>0</v>
      </c>
      <c r="P37" s="61" t="n">
        <f aca="false">IF(8&gt;Assumptions!$B$48,0,'Cash Flow'!I32-'Cash Flow'!I38*IF(Assumptions!$B$11=0,0,$B$37/Assumptions!$B$11)+IF(8=Assumptions!$B$48,$F$37,0))</f>
        <v>0</v>
      </c>
      <c r="Q37" s="61" t="n">
        <f aca="false">IF(9&gt;Assumptions!$B$48,0,'Cash Flow'!J32-'Cash Flow'!J38*IF(Assumptions!$B$11=0,0,$B$37/Assumptions!$B$11)+IF(9=Assumptions!$B$48,$F$37,0))</f>
        <v>0</v>
      </c>
      <c r="R37" s="61" t="n">
        <f aca="false">IF(10&gt;Assumptions!$B$48,0,'Cash Flow'!K32-'Cash Flow'!K38*IF(Assumptions!$B$11=0,0,$B$37/Assumptions!$B$11)+IF(10=Assumptions!$B$48,$F$37,0))</f>
        <v>0</v>
      </c>
      <c r="S37" s="62" t="n">
        <f aca="false">IFERROR(IRR(H37:R37),"n/a")</f>
        <v>0.124241510502211</v>
      </c>
      <c r="T37" s="63" t="n">
        <f aca="false">IF($E$37=0,"n/a",SUMIF(I37:R37,"&gt;0")/$E$37)</f>
        <v>1.68128539997489</v>
      </c>
    </row>
    <row r="38" customFormat="false" ht="15" hidden="false" customHeight="false" outlineLevel="0" collapsed="false">
      <c r="A38" s="60" t="s">
        <v>262</v>
      </c>
      <c r="B38" s="61" t="n">
        <f aca="false">Assumptions!$B$11*(1+1*Assumptions!$B$61)</f>
        <v>30187500</v>
      </c>
      <c r="C38" s="62" t="n">
        <f aca="false">Assumptions!$B$49+-1*Assumptions!$B$62/10000</f>
        <v>0.0775</v>
      </c>
      <c r="D38" s="61" t="n">
        <f aca="false">Assumptions!$B$39*$B$38</f>
        <v>18112500</v>
      </c>
      <c r="E38" s="61" t="n">
        <f aca="false">$B$38+$B$38*Assumptions!$B$13+Assumptions!$B$14+$D$38*Assumptions!$B$43-$D$38</f>
        <v>13458937.5</v>
      </c>
      <c r="F38" s="61" t="n">
        <f aca="false">IF($C$38=0,0,INDEX('Cash Flow'!$B$23:$L$23,Assumptions!$B$48+1)/$C$38)*(1-Assumptions!$B$50)-INDEX('Cash Flow'!$B$39:$L$39,Assumptions!$B$48)*IF(Assumptions!$B$11=0,0,$B$38/Assumptions!$B$11)</f>
        <v>15566074.8552151</v>
      </c>
      <c r="H38" s="61" t="n">
        <f aca="false">-$E$38</f>
        <v>-13458937.5</v>
      </c>
      <c r="I38" s="61" t="n">
        <f aca="false">IF(1&gt;Assumptions!$B$48,0,'Cash Flow'!B32-'Cash Flow'!B38*IF(Assumptions!$B$11=0,0,$B$38/Assumptions!$B$11)+IF(1=Assumptions!$B$48,$F$38,0))</f>
        <v>996717.75</v>
      </c>
      <c r="J38" s="61" t="n">
        <f aca="false">IF(2&gt;Assumptions!$B$48,0,'Cash Flow'!C32-'Cash Flow'!C38*IF(Assumptions!$B$11=0,0,$B$38/Assumptions!$B$11)+IF(2=Assumptions!$B$48,$F$38,0))</f>
        <v>1063873.92</v>
      </c>
      <c r="K38" s="61" t="n">
        <f aca="false">IF(3&gt;Assumptions!$B$48,0,'Cash Flow'!D32-'Cash Flow'!D38*IF(Assumptions!$B$11=0,0,$B$38/Assumptions!$B$11)+IF(3=Assumptions!$B$48,$F$38,0))</f>
        <v>879321.07345126</v>
      </c>
      <c r="L38" s="61" t="n">
        <f aca="false">IF(4&gt;Assumptions!$B$48,0,'Cash Flow'!E32-'Cash Flow'!E38*IF(Assumptions!$B$11=0,0,$B$38/Assumptions!$B$11)+IF(4=Assumptions!$B$48,$F$38,0))</f>
        <v>950736.26804176</v>
      </c>
      <c r="M38" s="61" t="n">
        <f aca="false">IF(5&gt;Assumptions!$B$48,0,'Cash Flow'!F32-'Cash Flow'!F38*IF(Assumptions!$B$11=0,0,$B$38/Assumptions!$B$11)+IF(5=Assumptions!$B$48,$F$38,0))</f>
        <v>16590455.2847742</v>
      </c>
      <c r="N38" s="61" t="n">
        <f aca="false">IF(6&gt;Assumptions!$B$48,0,'Cash Flow'!G32-'Cash Flow'!G38*IF(Assumptions!$B$11=0,0,$B$38/Assumptions!$B$11)+IF(6=Assumptions!$B$48,$F$38,0))</f>
        <v>0</v>
      </c>
      <c r="O38" s="61" t="n">
        <f aca="false">IF(7&gt;Assumptions!$B$48,0,'Cash Flow'!H32-'Cash Flow'!H38*IF(Assumptions!$B$11=0,0,$B$38/Assumptions!$B$11)+IF(7=Assumptions!$B$48,$F$38,0))</f>
        <v>0</v>
      </c>
      <c r="P38" s="61" t="n">
        <f aca="false">IF(8&gt;Assumptions!$B$48,0,'Cash Flow'!I32-'Cash Flow'!I38*IF(Assumptions!$B$11=0,0,$B$38/Assumptions!$B$11)+IF(8=Assumptions!$B$48,$F$38,0))</f>
        <v>0</v>
      </c>
      <c r="Q38" s="61" t="n">
        <f aca="false">IF(9&gt;Assumptions!$B$48,0,'Cash Flow'!J32-'Cash Flow'!J38*IF(Assumptions!$B$11=0,0,$B$38/Assumptions!$B$11)+IF(9=Assumptions!$B$48,$F$38,0))</f>
        <v>0</v>
      </c>
      <c r="R38" s="61" t="n">
        <f aca="false">IF(10&gt;Assumptions!$B$48,0,'Cash Flow'!K32-'Cash Flow'!K38*IF(Assumptions!$B$11=0,0,$B$38/Assumptions!$B$11)+IF(10=Assumptions!$B$48,$F$38,0))</f>
        <v>0</v>
      </c>
      <c r="S38" s="62" t="n">
        <f aca="false">IFERROR(IRR(H38:R38),"n/a")</f>
        <v>0.0988386508227215</v>
      </c>
      <c r="T38" s="63" t="n">
        <f aca="false">IF($E$38=0,"n/a",SUMIF(I38:R38,"&gt;0")/$E$38)</f>
        <v>1.52174748536184</v>
      </c>
    </row>
    <row r="39" customFormat="false" ht="15" hidden="false" customHeight="false" outlineLevel="0" collapsed="false">
      <c r="A39" s="60" t="s">
        <v>263</v>
      </c>
      <c r="B39" s="61" t="n">
        <f aca="false">Assumptions!$B$11*(1+2*Assumptions!$B$61)</f>
        <v>31625000</v>
      </c>
      <c r="C39" s="62" t="n">
        <f aca="false">Assumptions!$B$49+-1*Assumptions!$B$62/10000</f>
        <v>0.0775</v>
      </c>
      <c r="D39" s="61" t="n">
        <f aca="false">Assumptions!$B$39*$B$39</f>
        <v>18975000</v>
      </c>
      <c r="E39" s="61" t="n">
        <f aca="false">$B$39+$B$39*Assumptions!$B$13+Assumptions!$B$14+$D$39*Assumptions!$B$43-$D$39</f>
        <v>14064125</v>
      </c>
      <c r="F39" s="61" t="n">
        <f aca="false">IF($C$39=0,0,INDEX('Cash Flow'!$B$23:$L$23,Assumptions!$B$48+1)/$C$39)*(1-Assumptions!$B$50)-INDEX('Cash Flow'!$B$39:$L$39,Assumptions!$B$48)*IF(Assumptions!$B$11=0,0,$B$39/Assumptions!$B$11)</f>
        <v>14742146.197862</v>
      </c>
      <c r="H39" s="61" t="n">
        <f aca="false">-$E$39</f>
        <v>-14064125</v>
      </c>
      <c r="I39" s="61" t="n">
        <f aca="false">IF(1&gt;Assumptions!$B$48,0,'Cash Flow'!B32-'Cash Flow'!B38*IF(Assumptions!$B$11=0,0,$B$39/Assumptions!$B$11)+IF(1=Assumptions!$B$48,$F$39,0))</f>
        <v>942811.5</v>
      </c>
      <c r="J39" s="61" t="n">
        <f aca="false">IF(2&gt;Assumptions!$B$48,0,'Cash Flow'!C32-'Cash Flow'!C38*IF(Assumptions!$B$11=0,0,$B$39/Assumptions!$B$11)+IF(2=Assumptions!$B$48,$F$39,0))</f>
        <v>1009967.67</v>
      </c>
      <c r="K39" s="61" t="n">
        <f aca="false">IF(3&gt;Assumptions!$B$48,0,'Cash Flow'!D32-'Cash Flow'!D38*IF(Assumptions!$B$11=0,0,$B$39/Assumptions!$B$11)+IF(3=Assumptions!$B$48,$F$39,0))</f>
        <v>813328.821348939</v>
      </c>
      <c r="L39" s="61" t="n">
        <f aca="false">IF(4&gt;Assumptions!$B$48,0,'Cash Flow'!E32-'Cash Flow'!E38*IF(Assumptions!$B$11=0,0,$B$39/Assumptions!$B$11)+IF(4=Assumptions!$B$48,$F$39,0))</f>
        <v>884744.015939439</v>
      </c>
      <c r="M39" s="61" t="n">
        <f aca="false">IF(5&gt;Assumptions!$B$48,0,'Cash Flow'!F32-'Cash Flow'!F38*IF(Assumptions!$B$11=0,0,$B$39/Assumptions!$B$11)+IF(5=Assumptions!$B$48,$F$39,0))</f>
        <v>15700534.3753187</v>
      </c>
      <c r="N39" s="61" t="n">
        <f aca="false">IF(6&gt;Assumptions!$B$48,0,'Cash Flow'!G32-'Cash Flow'!G38*IF(Assumptions!$B$11=0,0,$B$39/Assumptions!$B$11)+IF(6=Assumptions!$B$48,$F$39,0))</f>
        <v>0</v>
      </c>
      <c r="O39" s="61" t="n">
        <f aca="false">IF(7&gt;Assumptions!$B$48,0,'Cash Flow'!H32-'Cash Flow'!H38*IF(Assumptions!$B$11=0,0,$B$39/Assumptions!$B$11)+IF(7=Assumptions!$B$48,$F$39,0))</f>
        <v>0</v>
      </c>
      <c r="P39" s="61" t="n">
        <f aca="false">IF(8&gt;Assumptions!$B$48,0,'Cash Flow'!I32-'Cash Flow'!I38*IF(Assumptions!$B$11=0,0,$B$39/Assumptions!$B$11)+IF(8=Assumptions!$B$48,$F$39,0))</f>
        <v>0</v>
      </c>
      <c r="Q39" s="61" t="n">
        <f aca="false">IF(9&gt;Assumptions!$B$48,0,'Cash Flow'!J32-'Cash Flow'!J38*IF(Assumptions!$B$11=0,0,$B$39/Assumptions!$B$11)+IF(9=Assumptions!$B$48,$F$39,0))</f>
        <v>0</v>
      </c>
      <c r="R39" s="61" t="n">
        <f aca="false">IF(10&gt;Assumptions!$B$48,0,'Cash Flow'!K32-'Cash Flow'!K38*IF(Assumptions!$B$11=0,0,$B$39/Assumptions!$B$11)+IF(10=Assumptions!$B$48,$F$39,0))</f>
        <v>0</v>
      </c>
      <c r="S39" s="62" t="n">
        <f aca="false">IFERROR(IRR(H39:R39),"n/a")</f>
        <v>0.0739682157360341</v>
      </c>
      <c r="T39" s="63" t="n">
        <f aca="false">IF($E$39=0,"n/a",SUMIF(I39:R39,"&gt;0")/$E$39)</f>
        <v>1.37593958974391</v>
      </c>
    </row>
    <row r="40" customFormat="false" ht="15" hidden="false" customHeight="false" outlineLevel="0" collapsed="false">
      <c r="A40" s="60" t="s">
        <v>264</v>
      </c>
      <c r="B40" s="61" t="n">
        <f aca="false">Assumptions!$B$11*(1+-2*Assumptions!$B$61)</f>
        <v>25875000</v>
      </c>
      <c r="C40" s="62" t="n">
        <f aca="false">Assumptions!$B$49+0*Assumptions!$B$62/10000</f>
        <v>0.08</v>
      </c>
      <c r="D40" s="61" t="n">
        <f aca="false">Assumptions!$B$39*$B$40</f>
        <v>15525000</v>
      </c>
      <c r="E40" s="61" t="n">
        <f aca="false">$B$40+$B$40*Assumptions!$B$13+Assumptions!$B$14+$D$40*Assumptions!$B$43-$D$40</f>
        <v>11643375</v>
      </c>
      <c r="F40" s="61" t="n">
        <f aca="false">IF($C$40=0,0,INDEX('Cash Flow'!$B$23:$L$23,Assumptions!$B$48+1)/$C$40)*(1-Assumptions!$B$50)-INDEX('Cash Flow'!$B$39:$L$39,Assumptions!$B$48)*IF(Assumptions!$B$11=0,0,$B$40/Assumptions!$B$11)</f>
        <v>17010717.8066611</v>
      </c>
      <c r="H40" s="61" t="n">
        <f aca="false">-$E$40</f>
        <v>-11643375</v>
      </c>
      <c r="I40" s="61" t="n">
        <f aca="false">IF(1&gt;Assumptions!$B$48,0,'Cash Flow'!B32-'Cash Flow'!B38*IF(Assumptions!$B$11=0,0,$B$40/Assumptions!$B$11)+IF(1=Assumptions!$B$48,$F$40,0))</f>
        <v>1158436.5</v>
      </c>
      <c r="J40" s="61" t="n">
        <f aca="false">IF(2&gt;Assumptions!$B$48,0,'Cash Flow'!C32-'Cash Flow'!C38*IF(Assumptions!$B$11=0,0,$B$40/Assumptions!$B$11)+IF(2=Assumptions!$B$48,$F$40,0))</f>
        <v>1225592.67</v>
      </c>
      <c r="K40" s="61" t="n">
        <f aca="false">IF(3&gt;Assumptions!$B$48,0,'Cash Flow'!D32-'Cash Flow'!D38*IF(Assumptions!$B$11=0,0,$B$40/Assumptions!$B$11)+IF(3=Assumptions!$B$48,$F$40,0))</f>
        <v>1077297.82975822</v>
      </c>
      <c r="L40" s="61" t="n">
        <f aca="false">IF(4&gt;Assumptions!$B$48,0,'Cash Flow'!E32-'Cash Flow'!E38*IF(Assumptions!$B$11=0,0,$B$40/Assumptions!$B$11)+IF(4=Assumptions!$B$48,$F$40,0))</f>
        <v>1148713.02434872</v>
      </c>
      <c r="M40" s="61" t="n">
        <f aca="false">IF(5&gt;Assumptions!$B$48,0,'Cash Flow'!F32-'Cash Flow'!F38*IF(Assumptions!$B$11=0,0,$B$40/Assumptions!$B$11)+IF(5=Assumptions!$B$48,$F$40,0))</f>
        <v>18233074.9925271</v>
      </c>
      <c r="N40" s="61" t="n">
        <f aca="false">IF(6&gt;Assumptions!$B$48,0,'Cash Flow'!G32-'Cash Flow'!G38*IF(Assumptions!$B$11=0,0,$B$40/Assumptions!$B$11)+IF(6=Assumptions!$B$48,$F$40,0))</f>
        <v>0</v>
      </c>
      <c r="O40" s="61" t="n">
        <f aca="false">IF(7&gt;Assumptions!$B$48,0,'Cash Flow'!H32-'Cash Flow'!H38*IF(Assumptions!$B$11=0,0,$B$40/Assumptions!$B$11)+IF(7=Assumptions!$B$48,$F$40,0))</f>
        <v>0</v>
      </c>
      <c r="P40" s="61" t="n">
        <f aca="false">IF(8&gt;Assumptions!$B$48,0,'Cash Flow'!I32-'Cash Flow'!I38*IF(Assumptions!$B$11=0,0,$B$40/Assumptions!$B$11)+IF(8=Assumptions!$B$48,$F$40,0))</f>
        <v>0</v>
      </c>
      <c r="Q40" s="61" t="n">
        <f aca="false">IF(9&gt;Assumptions!$B$48,0,'Cash Flow'!J32-'Cash Flow'!J38*IF(Assumptions!$B$11=0,0,$B$40/Assumptions!$B$11)+IF(9=Assumptions!$B$48,$F$40,0))</f>
        <v>0</v>
      </c>
      <c r="R40" s="61" t="n">
        <f aca="false">IF(10&gt;Assumptions!$B$48,0,'Cash Flow'!K32-'Cash Flow'!K38*IF(Assumptions!$B$11=0,0,$B$40/Assumptions!$B$11)+IF(10=Assumptions!$B$48,$F$40,0))</f>
        <v>0</v>
      </c>
      <c r="S40" s="62" t="n">
        <f aca="false">IFERROR(IRR(H40:R40),"n/a")</f>
        <v>0.166295977216921</v>
      </c>
      <c r="T40" s="63" t="n">
        <f aca="false">IF($E$40=0,"n/a",SUMIF(I40:R40,"&gt;0")/$E$40)</f>
        <v>1.96189807651424</v>
      </c>
    </row>
    <row r="41" customFormat="false" ht="15" hidden="false" customHeight="false" outlineLevel="0" collapsed="false">
      <c r="A41" s="60" t="s">
        <v>265</v>
      </c>
      <c r="B41" s="61" t="n">
        <f aca="false">Assumptions!$B$11*(1+-1*Assumptions!$B$61)</f>
        <v>27312500</v>
      </c>
      <c r="C41" s="62" t="n">
        <f aca="false">Assumptions!$B$49+0*Assumptions!$B$62/10000</f>
        <v>0.08</v>
      </c>
      <c r="D41" s="61" t="n">
        <f aca="false">Assumptions!$B$39*$B$41</f>
        <v>16387500</v>
      </c>
      <c r="E41" s="61" t="n">
        <f aca="false">$B$41+$B$41*Assumptions!$B$13+Assumptions!$B$14+$D$41*Assumptions!$B$43-$D$41</f>
        <v>12248562.5</v>
      </c>
      <c r="F41" s="61" t="n">
        <f aca="false">IF($C$41=0,0,INDEX('Cash Flow'!$B$23:$L$23,Assumptions!$B$48+1)/$C$41)*(1-Assumptions!$B$50)-INDEX('Cash Flow'!$B$39:$L$39,Assumptions!$B$48)*IF(Assumptions!$B$11=0,0,$B$41/Assumptions!$B$11)</f>
        <v>16186789.1493079</v>
      </c>
      <c r="H41" s="61" t="n">
        <f aca="false">-$E$41</f>
        <v>-12248562.5</v>
      </c>
      <c r="I41" s="61" t="n">
        <f aca="false">IF(1&gt;Assumptions!$B$48,0,'Cash Flow'!B32-'Cash Flow'!B38*IF(Assumptions!$B$11=0,0,$B$41/Assumptions!$B$11)+IF(1=Assumptions!$B$48,$F$41,0))</f>
        <v>1104530.25</v>
      </c>
      <c r="J41" s="61" t="n">
        <f aca="false">IF(2&gt;Assumptions!$B$48,0,'Cash Flow'!C32-'Cash Flow'!C38*IF(Assumptions!$B$11=0,0,$B$41/Assumptions!$B$11)+IF(2=Assumptions!$B$48,$F$41,0))</f>
        <v>1171686.42</v>
      </c>
      <c r="K41" s="61" t="n">
        <f aca="false">IF(3&gt;Assumptions!$B$48,0,'Cash Flow'!D32-'Cash Flow'!D38*IF(Assumptions!$B$11=0,0,$B$41/Assumptions!$B$11)+IF(3=Assumptions!$B$48,$F$41,0))</f>
        <v>1011305.5776559</v>
      </c>
      <c r="L41" s="61" t="n">
        <f aca="false">IF(4&gt;Assumptions!$B$48,0,'Cash Flow'!E32-'Cash Flow'!E38*IF(Assumptions!$B$11=0,0,$B$41/Assumptions!$B$11)+IF(4=Assumptions!$B$48,$F$41,0))</f>
        <v>1082720.7722464</v>
      </c>
      <c r="M41" s="61" t="n">
        <f aca="false">IF(5&gt;Assumptions!$B$48,0,'Cash Flow'!F32-'Cash Flow'!F38*IF(Assumptions!$B$11=0,0,$B$41/Assumptions!$B$11)+IF(5=Assumptions!$B$48,$F$41,0))</f>
        <v>17343154.0830716</v>
      </c>
      <c r="N41" s="61" t="n">
        <f aca="false">IF(6&gt;Assumptions!$B$48,0,'Cash Flow'!G32-'Cash Flow'!G38*IF(Assumptions!$B$11=0,0,$B$41/Assumptions!$B$11)+IF(6=Assumptions!$B$48,$F$41,0))</f>
        <v>0</v>
      </c>
      <c r="O41" s="61" t="n">
        <f aca="false">IF(7&gt;Assumptions!$B$48,0,'Cash Flow'!H32-'Cash Flow'!H38*IF(Assumptions!$B$11=0,0,$B$41/Assumptions!$B$11)+IF(7=Assumptions!$B$48,$F$41,0))</f>
        <v>0</v>
      </c>
      <c r="P41" s="61" t="n">
        <f aca="false">IF(8&gt;Assumptions!$B$48,0,'Cash Flow'!I32-'Cash Flow'!I38*IF(Assumptions!$B$11=0,0,$B$41/Assumptions!$B$11)+IF(8=Assumptions!$B$48,$F$41,0))</f>
        <v>0</v>
      </c>
      <c r="Q41" s="61" t="n">
        <f aca="false">IF(9&gt;Assumptions!$B$48,0,'Cash Flow'!J32-'Cash Flow'!J38*IF(Assumptions!$B$11=0,0,$B$41/Assumptions!$B$11)+IF(9=Assumptions!$B$48,$F$41,0))</f>
        <v>0</v>
      </c>
      <c r="R41" s="61" t="n">
        <f aca="false">IF(10&gt;Assumptions!$B$48,0,'Cash Flow'!K32-'Cash Flow'!K38*IF(Assumptions!$B$11=0,0,$B$41/Assumptions!$B$11)+IF(10=Assumptions!$B$48,$F$41,0))</f>
        <v>0</v>
      </c>
      <c r="S41" s="62" t="n">
        <f aca="false">IFERROR(IRR(H41:R41),"n/a")</f>
        <v>0.138981566808883</v>
      </c>
      <c r="T41" s="63" t="n">
        <f aca="false">IF($E$41=0,"n/a",SUMIF(I41:R41,"&gt;0")/$E$41)</f>
        <v>1.77273023695425</v>
      </c>
    </row>
    <row r="42" customFormat="false" ht="15" hidden="false" customHeight="false" outlineLevel="0" collapsed="false">
      <c r="A42" s="60" t="s">
        <v>266</v>
      </c>
      <c r="B42" s="61" t="n">
        <f aca="false">Assumptions!$B$11*(1+0*Assumptions!$B$61)</f>
        <v>28750000</v>
      </c>
      <c r="C42" s="62" t="n">
        <f aca="false">Assumptions!$B$49+0*Assumptions!$B$62/10000</f>
        <v>0.08</v>
      </c>
      <c r="D42" s="61" t="n">
        <f aca="false">Assumptions!$B$39*$B$42</f>
        <v>17250000</v>
      </c>
      <c r="E42" s="61" t="n">
        <f aca="false">$B$42+$B$42*Assumptions!$B$13+Assumptions!$B$14+$D$42*Assumptions!$B$43-$D$42</f>
        <v>12853750</v>
      </c>
      <c r="F42" s="61" t="n">
        <f aca="false">IF($C$42=0,0,INDEX('Cash Flow'!$B$23:$L$23,Assumptions!$B$48+1)/$C$42)*(1-Assumptions!$B$50)-INDEX('Cash Flow'!$B$39:$L$39,Assumptions!$B$48)*IF(Assumptions!$B$11=0,0,$B$42/Assumptions!$B$11)</f>
        <v>15362860.4919548</v>
      </c>
      <c r="H42" s="61" t="n">
        <f aca="false">-$E$42</f>
        <v>-12853750</v>
      </c>
      <c r="I42" s="61" t="n">
        <f aca="false">IF(1&gt;Assumptions!$B$48,0,'Cash Flow'!B32-'Cash Flow'!B38*IF(Assumptions!$B$11=0,0,$B$42/Assumptions!$B$11)+IF(1=Assumptions!$B$48,$F$42,0))</f>
        <v>1050624</v>
      </c>
      <c r="J42" s="61" t="n">
        <f aca="false">IF(2&gt;Assumptions!$B$48,0,'Cash Flow'!C32-'Cash Flow'!C38*IF(Assumptions!$B$11=0,0,$B$42/Assumptions!$B$11)+IF(2=Assumptions!$B$48,$F$42,0))</f>
        <v>1117780.17</v>
      </c>
      <c r="K42" s="61" t="n">
        <f aca="false">IF(3&gt;Assumptions!$B$48,0,'Cash Flow'!D32-'Cash Flow'!D38*IF(Assumptions!$B$11=0,0,$B$42/Assumptions!$B$11)+IF(3=Assumptions!$B$48,$F$42,0))</f>
        <v>945313.325553581</v>
      </c>
      <c r="L42" s="61" t="n">
        <f aca="false">IF(4&gt;Assumptions!$B$48,0,'Cash Flow'!E32-'Cash Flow'!E38*IF(Assumptions!$B$11=0,0,$B$42/Assumptions!$B$11)+IF(4=Assumptions!$B$48,$F$42,0))</f>
        <v>1016728.52014408</v>
      </c>
      <c r="M42" s="61" t="n">
        <f aca="false">IF(5&gt;Assumptions!$B$48,0,'Cash Flow'!F32-'Cash Flow'!F38*IF(Assumptions!$B$11=0,0,$B$42/Assumptions!$B$11)+IF(5=Assumptions!$B$48,$F$42,0))</f>
        <v>16453233.1736161</v>
      </c>
      <c r="N42" s="61" t="n">
        <f aca="false">IF(6&gt;Assumptions!$B$48,0,'Cash Flow'!G32-'Cash Flow'!G38*IF(Assumptions!$B$11=0,0,$B$42/Assumptions!$B$11)+IF(6=Assumptions!$B$48,$F$42,0))</f>
        <v>0</v>
      </c>
      <c r="O42" s="61" t="n">
        <f aca="false">IF(7&gt;Assumptions!$B$48,0,'Cash Flow'!H32-'Cash Flow'!H38*IF(Assumptions!$B$11=0,0,$B$42/Assumptions!$B$11)+IF(7=Assumptions!$B$48,$F$42,0))</f>
        <v>0</v>
      </c>
      <c r="P42" s="61" t="n">
        <f aca="false">IF(8&gt;Assumptions!$B$48,0,'Cash Flow'!I32-'Cash Flow'!I38*IF(Assumptions!$B$11=0,0,$B$42/Assumptions!$B$11)+IF(8=Assumptions!$B$48,$F$42,0))</f>
        <v>0</v>
      </c>
      <c r="Q42" s="61" t="n">
        <f aca="false">IF(9&gt;Assumptions!$B$48,0,'Cash Flow'!J32-'Cash Flow'!J38*IF(Assumptions!$B$11=0,0,$B$42/Assumptions!$B$11)+IF(9=Assumptions!$B$48,$F$42,0))</f>
        <v>0</v>
      </c>
      <c r="R42" s="61" t="n">
        <f aca="false">IF(10&gt;Assumptions!$B$48,0,'Cash Flow'!K32-'Cash Flow'!K38*IF(Assumptions!$B$11=0,0,$B$42/Assumptions!$B$11)+IF(10=Assumptions!$B$48,$F$42,0))</f>
        <v>0</v>
      </c>
      <c r="S42" s="62" t="n">
        <f aca="false">IFERROR(IRR(H42:R42),"n/a")</f>
        <v>0.112481140398486</v>
      </c>
      <c r="T42" s="63" t="n">
        <f aca="false">IF($E$42=0,"n/a",SUMIF(I42:R42,"&gt;0")/$E$42)</f>
        <v>1.60137541101342</v>
      </c>
    </row>
    <row r="43" customFormat="false" ht="15" hidden="false" customHeight="false" outlineLevel="0" collapsed="false">
      <c r="A43" s="60" t="s">
        <v>267</v>
      </c>
      <c r="B43" s="61" t="n">
        <f aca="false">Assumptions!$B$11*(1+1*Assumptions!$B$61)</f>
        <v>30187500</v>
      </c>
      <c r="C43" s="62" t="n">
        <f aca="false">Assumptions!$B$49+0*Assumptions!$B$62/10000</f>
        <v>0.08</v>
      </c>
      <c r="D43" s="61" t="n">
        <f aca="false">Assumptions!$B$39*$B$43</f>
        <v>18112500</v>
      </c>
      <c r="E43" s="61" t="n">
        <f aca="false">$B$43+$B$43*Assumptions!$B$13+Assumptions!$B$14+$D$43*Assumptions!$B$43-$D$43</f>
        <v>13458937.5</v>
      </c>
      <c r="F43" s="61" t="n">
        <f aca="false">IF($C$43=0,0,INDEX('Cash Flow'!$B$23:$L$23,Assumptions!$B$48+1)/$C$43)*(1-Assumptions!$B$50)-INDEX('Cash Flow'!$B$39:$L$39,Assumptions!$B$48)*IF(Assumptions!$B$11=0,0,$B$43/Assumptions!$B$11)</f>
        <v>14538931.8346016</v>
      </c>
      <c r="H43" s="61" t="n">
        <f aca="false">-$E$43</f>
        <v>-13458937.5</v>
      </c>
      <c r="I43" s="61" t="n">
        <f aca="false">IF(1&gt;Assumptions!$B$48,0,'Cash Flow'!B32-'Cash Flow'!B38*IF(Assumptions!$B$11=0,0,$B$43/Assumptions!$B$11)+IF(1=Assumptions!$B$48,$F$43,0))</f>
        <v>996717.75</v>
      </c>
      <c r="J43" s="61" t="n">
        <f aca="false">IF(2&gt;Assumptions!$B$48,0,'Cash Flow'!C32-'Cash Flow'!C38*IF(Assumptions!$B$11=0,0,$B$43/Assumptions!$B$11)+IF(2=Assumptions!$B$48,$F$43,0))</f>
        <v>1063873.92</v>
      </c>
      <c r="K43" s="61" t="n">
        <f aca="false">IF(3&gt;Assumptions!$B$48,0,'Cash Flow'!D32-'Cash Flow'!D38*IF(Assumptions!$B$11=0,0,$B$43/Assumptions!$B$11)+IF(3=Assumptions!$B$48,$F$43,0))</f>
        <v>879321.07345126</v>
      </c>
      <c r="L43" s="61" t="n">
        <f aca="false">IF(4&gt;Assumptions!$B$48,0,'Cash Flow'!E32-'Cash Flow'!E38*IF(Assumptions!$B$11=0,0,$B$43/Assumptions!$B$11)+IF(4=Assumptions!$B$48,$F$43,0))</f>
        <v>950736.26804176</v>
      </c>
      <c r="M43" s="61" t="n">
        <f aca="false">IF(5&gt;Assumptions!$B$48,0,'Cash Flow'!F32-'Cash Flow'!F38*IF(Assumptions!$B$11=0,0,$B$43/Assumptions!$B$11)+IF(5=Assumptions!$B$48,$F$43,0))</f>
        <v>15563312.2641607</v>
      </c>
      <c r="N43" s="61" t="n">
        <f aca="false">IF(6&gt;Assumptions!$B$48,0,'Cash Flow'!G32-'Cash Flow'!G38*IF(Assumptions!$B$11=0,0,$B$43/Assumptions!$B$11)+IF(6=Assumptions!$B$48,$F$43,0))</f>
        <v>0</v>
      </c>
      <c r="O43" s="61" t="n">
        <f aca="false">IF(7&gt;Assumptions!$B$48,0,'Cash Flow'!H32-'Cash Flow'!H38*IF(Assumptions!$B$11=0,0,$B$43/Assumptions!$B$11)+IF(7=Assumptions!$B$48,$F$43,0))</f>
        <v>0</v>
      </c>
      <c r="P43" s="61" t="n">
        <f aca="false">IF(8&gt;Assumptions!$B$48,0,'Cash Flow'!I32-'Cash Flow'!I38*IF(Assumptions!$B$11=0,0,$B$43/Assumptions!$B$11)+IF(8=Assumptions!$B$48,$F$43,0))</f>
        <v>0</v>
      </c>
      <c r="Q43" s="61" t="n">
        <f aca="false">IF(9&gt;Assumptions!$B$48,0,'Cash Flow'!J32-'Cash Flow'!J38*IF(Assumptions!$B$11=0,0,$B$43/Assumptions!$B$11)+IF(9=Assumptions!$B$48,$F$43,0))</f>
        <v>0</v>
      </c>
      <c r="R43" s="61" t="n">
        <f aca="false">IF(10&gt;Assumptions!$B$48,0,'Cash Flow'!K32-'Cash Flow'!K38*IF(Assumptions!$B$11=0,0,$B$43/Assumptions!$B$11)+IF(10=Assumptions!$B$48,$F$43,0))</f>
        <v>0</v>
      </c>
      <c r="S43" s="62" t="n">
        <f aca="false">IFERROR(IRR(H43:R43),"n/a")</f>
        <v>0.0866205622289304</v>
      </c>
      <c r="T43" s="63" t="n">
        <f aca="false">IF($E$43=0,"n/a",SUMIF(I43:R43,"&gt;0")/$E$43)</f>
        <v>1.44543068690628</v>
      </c>
    </row>
    <row r="44" customFormat="false" ht="15" hidden="false" customHeight="false" outlineLevel="0" collapsed="false">
      <c r="A44" s="60" t="s">
        <v>268</v>
      </c>
      <c r="B44" s="61" t="n">
        <f aca="false">Assumptions!$B$11*(1+2*Assumptions!$B$61)</f>
        <v>31625000</v>
      </c>
      <c r="C44" s="62" t="n">
        <f aca="false">Assumptions!$B$49+0*Assumptions!$B$62/10000</f>
        <v>0.08</v>
      </c>
      <c r="D44" s="61" t="n">
        <f aca="false">Assumptions!$B$39*$B$44</f>
        <v>18975000</v>
      </c>
      <c r="E44" s="61" t="n">
        <f aca="false">$B$44+$B$44*Assumptions!$B$13+Assumptions!$B$14+$D$44*Assumptions!$B$43-$D$44</f>
        <v>14064125</v>
      </c>
      <c r="F44" s="61" t="n">
        <f aca="false">IF($C$44=0,0,INDEX('Cash Flow'!$B$23:$L$23,Assumptions!$B$48+1)/$C$44)*(1-Assumptions!$B$50)-INDEX('Cash Flow'!$B$39:$L$39,Assumptions!$B$48)*IF(Assumptions!$B$11=0,0,$B$44/Assumptions!$B$11)</f>
        <v>13715003.1772485</v>
      </c>
      <c r="H44" s="61" t="n">
        <f aca="false">-$E$44</f>
        <v>-14064125</v>
      </c>
      <c r="I44" s="61" t="n">
        <f aca="false">IF(1&gt;Assumptions!$B$48,0,'Cash Flow'!B32-'Cash Flow'!B38*IF(Assumptions!$B$11=0,0,$B$44/Assumptions!$B$11)+IF(1=Assumptions!$B$48,$F$44,0))</f>
        <v>942811.5</v>
      </c>
      <c r="J44" s="61" t="n">
        <f aca="false">IF(2&gt;Assumptions!$B$48,0,'Cash Flow'!C32-'Cash Flow'!C38*IF(Assumptions!$B$11=0,0,$B$44/Assumptions!$B$11)+IF(2=Assumptions!$B$48,$F$44,0))</f>
        <v>1009967.67</v>
      </c>
      <c r="K44" s="61" t="n">
        <f aca="false">IF(3&gt;Assumptions!$B$48,0,'Cash Flow'!D32-'Cash Flow'!D38*IF(Assumptions!$B$11=0,0,$B$44/Assumptions!$B$11)+IF(3=Assumptions!$B$48,$F$44,0))</f>
        <v>813328.821348939</v>
      </c>
      <c r="L44" s="61" t="n">
        <f aca="false">IF(4&gt;Assumptions!$B$48,0,'Cash Flow'!E32-'Cash Flow'!E38*IF(Assumptions!$B$11=0,0,$B$44/Assumptions!$B$11)+IF(4=Assumptions!$B$48,$F$44,0))</f>
        <v>884744.015939439</v>
      </c>
      <c r="M44" s="61" t="n">
        <f aca="false">IF(5&gt;Assumptions!$B$48,0,'Cash Flow'!F32-'Cash Flow'!F38*IF(Assumptions!$B$11=0,0,$B$44/Assumptions!$B$11)+IF(5=Assumptions!$B$48,$F$44,0))</f>
        <v>14673391.3547052</v>
      </c>
      <c r="N44" s="61" t="n">
        <f aca="false">IF(6&gt;Assumptions!$B$48,0,'Cash Flow'!G32-'Cash Flow'!G38*IF(Assumptions!$B$11=0,0,$B$44/Assumptions!$B$11)+IF(6=Assumptions!$B$48,$F$44,0))</f>
        <v>0</v>
      </c>
      <c r="O44" s="61" t="n">
        <f aca="false">IF(7&gt;Assumptions!$B$48,0,'Cash Flow'!H32-'Cash Flow'!H38*IF(Assumptions!$B$11=0,0,$B$44/Assumptions!$B$11)+IF(7=Assumptions!$B$48,$F$44,0))</f>
        <v>0</v>
      </c>
      <c r="P44" s="61" t="n">
        <f aca="false">IF(8&gt;Assumptions!$B$48,0,'Cash Flow'!I32-'Cash Flow'!I38*IF(Assumptions!$B$11=0,0,$B$44/Assumptions!$B$11)+IF(8=Assumptions!$B$48,$F$44,0))</f>
        <v>0</v>
      </c>
      <c r="Q44" s="61" t="n">
        <f aca="false">IF(9&gt;Assumptions!$B$48,0,'Cash Flow'!J32-'Cash Flow'!J38*IF(Assumptions!$B$11=0,0,$B$44/Assumptions!$B$11)+IF(9=Assumptions!$B$48,$F$44,0))</f>
        <v>0</v>
      </c>
      <c r="R44" s="61" t="n">
        <f aca="false">IF(10&gt;Assumptions!$B$48,0,'Cash Flow'!K32-'Cash Flow'!K38*IF(Assumptions!$B$11=0,0,$B$44/Assumptions!$B$11)+IF(10=Assumptions!$B$48,$F$44,0))</f>
        <v>0</v>
      </c>
      <c r="S44" s="62" t="n">
        <f aca="false">IFERROR(IRR(H44:R44),"n/a")</f>
        <v>0.061239610059198</v>
      </c>
      <c r="T44" s="63" t="n">
        <f aca="false">IF($E$44=0,"n/a",SUMIF(I44:R44,"&gt;0")/$E$44)</f>
        <v>1.30290674762871</v>
      </c>
    </row>
    <row r="45" customFormat="false" ht="15" hidden="false" customHeight="false" outlineLevel="0" collapsed="false">
      <c r="A45" s="60" t="s">
        <v>269</v>
      </c>
      <c r="B45" s="61" t="n">
        <f aca="false">Assumptions!$B$11*(1+-2*Assumptions!$B$61)</f>
        <v>25875000</v>
      </c>
      <c r="C45" s="62" t="n">
        <f aca="false">Assumptions!$B$49+1*Assumptions!$B$62/10000</f>
        <v>0.0825</v>
      </c>
      <c r="D45" s="61" t="n">
        <f aca="false">Assumptions!$B$39*$B$45</f>
        <v>15525000</v>
      </c>
      <c r="E45" s="61" t="n">
        <f aca="false">$B$45+$B$45*Assumptions!$B$13+Assumptions!$B$14+$D$45*Assumptions!$B$43-$D$45</f>
        <v>11643375</v>
      </c>
      <c r="F45" s="61" t="n">
        <f aca="false">IF($C$45=0,0,INDEX('Cash Flow'!$B$23:$L$23,Assumptions!$B$48+1)/$C$45)*(1-Assumptions!$B$50)-INDEX('Cash Flow'!$B$39:$L$39,Assumptions!$B$48)*IF(Assumptions!$B$11=0,0,$B$45/Assumptions!$B$11)</f>
        <v>16045825.878206</v>
      </c>
      <c r="H45" s="61" t="n">
        <f aca="false">-$E$45</f>
        <v>-11643375</v>
      </c>
      <c r="I45" s="61" t="n">
        <f aca="false">IF(1&gt;Assumptions!$B$48,0,'Cash Flow'!B32-'Cash Flow'!B38*IF(Assumptions!$B$11=0,0,$B$45/Assumptions!$B$11)+IF(1=Assumptions!$B$48,$F$45,0))</f>
        <v>1158436.5</v>
      </c>
      <c r="J45" s="61" t="n">
        <f aca="false">IF(2&gt;Assumptions!$B$48,0,'Cash Flow'!C32-'Cash Flow'!C38*IF(Assumptions!$B$11=0,0,$B$45/Assumptions!$B$11)+IF(2=Assumptions!$B$48,$F$45,0))</f>
        <v>1225592.67</v>
      </c>
      <c r="K45" s="61" t="n">
        <f aca="false">IF(3&gt;Assumptions!$B$48,0,'Cash Flow'!D32-'Cash Flow'!D38*IF(Assumptions!$B$11=0,0,$B$45/Assumptions!$B$11)+IF(3=Assumptions!$B$48,$F$45,0))</f>
        <v>1077297.82975822</v>
      </c>
      <c r="L45" s="61" t="n">
        <f aca="false">IF(4&gt;Assumptions!$B$48,0,'Cash Flow'!E32-'Cash Flow'!E38*IF(Assumptions!$B$11=0,0,$B$45/Assumptions!$B$11)+IF(4=Assumptions!$B$48,$F$45,0))</f>
        <v>1148713.02434872</v>
      </c>
      <c r="M45" s="61" t="n">
        <f aca="false">IF(5&gt;Assumptions!$B$48,0,'Cash Flow'!F32-'Cash Flow'!F38*IF(Assumptions!$B$11=0,0,$B$45/Assumptions!$B$11)+IF(5=Assumptions!$B$48,$F$45,0))</f>
        <v>17268183.064072</v>
      </c>
      <c r="N45" s="61" t="n">
        <f aca="false">IF(6&gt;Assumptions!$B$48,0,'Cash Flow'!G32-'Cash Flow'!G38*IF(Assumptions!$B$11=0,0,$B$45/Assumptions!$B$11)+IF(6=Assumptions!$B$48,$F$45,0))</f>
        <v>0</v>
      </c>
      <c r="O45" s="61" t="n">
        <f aca="false">IF(7&gt;Assumptions!$B$48,0,'Cash Flow'!H32-'Cash Flow'!H38*IF(Assumptions!$B$11=0,0,$B$45/Assumptions!$B$11)+IF(7=Assumptions!$B$48,$F$45,0))</f>
        <v>0</v>
      </c>
      <c r="P45" s="61" t="n">
        <f aca="false">IF(8&gt;Assumptions!$B$48,0,'Cash Flow'!I32-'Cash Flow'!I38*IF(Assumptions!$B$11=0,0,$B$45/Assumptions!$B$11)+IF(8=Assumptions!$B$48,$F$45,0))</f>
        <v>0</v>
      </c>
      <c r="Q45" s="61" t="n">
        <f aca="false">IF(9&gt;Assumptions!$B$48,0,'Cash Flow'!J32-'Cash Flow'!J38*IF(Assumptions!$B$11=0,0,$B$45/Assumptions!$B$11)+IF(9=Assumptions!$B$48,$F$45,0))</f>
        <v>0</v>
      </c>
      <c r="R45" s="61" t="n">
        <f aca="false">IF(10&gt;Assumptions!$B$48,0,'Cash Flow'!K32-'Cash Flow'!K38*IF(Assumptions!$B$11=0,0,$B$45/Assumptions!$B$11)+IF(10=Assumptions!$B$48,$F$45,0))</f>
        <v>0</v>
      </c>
      <c r="S45" s="62" t="n">
        <f aca="false">IFERROR(IRR(H45:R45),"n/a")</f>
        <v>0.15556262963791</v>
      </c>
      <c r="T45" s="63" t="n">
        <f aca="false">IF($E$45=0,"n/a",SUMIF(I45:R45,"&gt;0")/$E$45)</f>
        <v>1.87902760910637</v>
      </c>
    </row>
    <row r="46" customFormat="false" ht="15" hidden="false" customHeight="false" outlineLevel="0" collapsed="false">
      <c r="A46" s="60" t="s">
        <v>270</v>
      </c>
      <c r="B46" s="61" t="n">
        <f aca="false">Assumptions!$B$11*(1+-1*Assumptions!$B$61)</f>
        <v>27312500</v>
      </c>
      <c r="C46" s="62" t="n">
        <f aca="false">Assumptions!$B$49+1*Assumptions!$B$62/10000</f>
        <v>0.0825</v>
      </c>
      <c r="D46" s="61" t="n">
        <f aca="false">Assumptions!$B$39*$B$46</f>
        <v>16387500</v>
      </c>
      <c r="E46" s="61" t="n">
        <f aca="false">$B$46+$B$46*Assumptions!$B$13+Assumptions!$B$14+$D$46*Assumptions!$B$43-$D$46</f>
        <v>12248562.5</v>
      </c>
      <c r="F46" s="61" t="n">
        <f aca="false">IF($C$46=0,0,INDEX('Cash Flow'!$B$23:$L$23,Assumptions!$B$48+1)/$C$46)*(1-Assumptions!$B$50)-INDEX('Cash Flow'!$B$39:$L$39,Assumptions!$B$48)*IF(Assumptions!$B$11=0,0,$B$46/Assumptions!$B$11)</f>
        <v>15221897.2208528</v>
      </c>
      <c r="H46" s="61" t="n">
        <f aca="false">-$E$46</f>
        <v>-12248562.5</v>
      </c>
      <c r="I46" s="61" t="n">
        <f aca="false">IF(1&gt;Assumptions!$B$48,0,'Cash Flow'!B32-'Cash Flow'!B38*IF(Assumptions!$B$11=0,0,$B$46/Assumptions!$B$11)+IF(1=Assumptions!$B$48,$F$46,0))</f>
        <v>1104530.25</v>
      </c>
      <c r="J46" s="61" t="n">
        <f aca="false">IF(2&gt;Assumptions!$B$48,0,'Cash Flow'!C32-'Cash Flow'!C38*IF(Assumptions!$B$11=0,0,$B$46/Assumptions!$B$11)+IF(2=Assumptions!$B$48,$F$46,0))</f>
        <v>1171686.42</v>
      </c>
      <c r="K46" s="61" t="n">
        <f aca="false">IF(3&gt;Assumptions!$B$48,0,'Cash Flow'!D32-'Cash Flow'!D38*IF(Assumptions!$B$11=0,0,$B$46/Assumptions!$B$11)+IF(3=Assumptions!$B$48,$F$46,0))</f>
        <v>1011305.5776559</v>
      </c>
      <c r="L46" s="61" t="n">
        <f aca="false">IF(4&gt;Assumptions!$B$48,0,'Cash Flow'!E32-'Cash Flow'!E38*IF(Assumptions!$B$11=0,0,$B$46/Assumptions!$B$11)+IF(4=Assumptions!$B$48,$F$46,0))</f>
        <v>1082720.7722464</v>
      </c>
      <c r="M46" s="61" t="n">
        <f aca="false">IF(5&gt;Assumptions!$B$48,0,'Cash Flow'!F32-'Cash Flow'!F38*IF(Assumptions!$B$11=0,0,$B$46/Assumptions!$B$11)+IF(5=Assumptions!$B$48,$F$46,0))</f>
        <v>16378262.1546165</v>
      </c>
      <c r="N46" s="61" t="n">
        <f aca="false">IF(6&gt;Assumptions!$B$48,0,'Cash Flow'!G32-'Cash Flow'!G38*IF(Assumptions!$B$11=0,0,$B$46/Assumptions!$B$11)+IF(6=Assumptions!$B$48,$F$46,0))</f>
        <v>0</v>
      </c>
      <c r="O46" s="61" t="n">
        <f aca="false">IF(7&gt;Assumptions!$B$48,0,'Cash Flow'!H32-'Cash Flow'!H38*IF(Assumptions!$B$11=0,0,$B$46/Assumptions!$B$11)+IF(7=Assumptions!$B$48,$F$46,0))</f>
        <v>0</v>
      </c>
      <c r="P46" s="61" t="n">
        <f aca="false">IF(8&gt;Assumptions!$B$48,0,'Cash Flow'!I32-'Cash Flow'!I38*IF(Assumptions!$B$11=0,0,$B$46/Assumptions!$B$11)+IF(8=Assumptions!$B$48,$F$46,0))</f>
        <v>0</v>
      </c>
      <c r="Q46" s="61" t="n">
        <f aca="false">IF(9&gt;Assumptions!$B$48,0,'Cash Flow'!J32-'Cash Flow'!J38*IF(Assumptions!$B$11=0,0,$B$46/Assumptions!$B$11)+IF(9=Assumptions!$B$48,$F$46,0))</f>
        <v>0</v>
      </c>
      <c r="R46" s="61" t="n">
        <f aca="false">IF(10&gt;Assumptions!$B$48,0,'Cash Flow'!K32-'Cash Flow'!K38*IF(Assumptions!$B$11=0,0,$B$46/Assumptions!$B$11)+IF(10=Assumptions!$B$48,$F$46,0))</f>
        <v>0</v>
      </c>
      <c r="S46" s="62" t="n">
        <f aca="false">IFERROR(IRR(H46:R46),"n/a")</f>
        <v>0.127858915976313</v>
      </c>
      <c r="T46" s="63" t="n">
        <f aca="false">IF($E$46=0,"n/a",SUMIF(I46:R46,"&gt;0")/$E$46)</f>
        <v>1.69395430480261</v>
      </c>
    </row>
    <row r="47" customFormat="false" ht="15" hidden="false" customHeight="false" outlineLevel="0" collapsed="false">
      <c r="A47" s="60" t="s">
        <v>271</v>
      </c>
      <c r="B47" s="61" t="n">
        <f aca="false">Assumptions!$B$11*(1+0*Assumptions!$B$61)</f>
        <v>28750000</v>
      </c>
      <c r="C47" s="62" t="n">
        <f aca="false">Assumptions!$B$49+1*Assumptions!$B$62/10000</f>
        <v>0.0825</v>
      </c>
      <c r="D47" s="61" t="n">
        <f aca="false">Assumptions!$B$39*$B$47</f>
        <v>17250000</v>
      </c>
      <c r="E47" s="61" t="n">
        <f aca="false">$B$47+$B$47*Assumptions!$B$13+Assumptions!$B$14+$D$47*Assumptions!$B$43-$D$47</f>
        <v>12853750</v>
      </c>
      <c r="F47" s="61" t="n">
        <f aca="false">IF($C$47=0,0,INDEX('Cash Flow'!$B$23:$L$23,Assumptions!$B$48+1)/$C$47)*(1-Assumptions!$B$50)-INDEX('Cash Flow'!$B$39:$L$39,Assumptions!$B$48)*IF(Assumptions!$B$11=0,0,$B$47/Assumptions!$B$11)</f>
        <v>14397968.5634997</v>
      </c>
      <c r="H47" s="61" t="n">
        <f aca="false">-$E$47</f>
        <v>-12853750</v>
      </c>
      <c r="I47" s="61" t="n">
        <f aca="false">IF(1&gt;Assumptions!$B$48,0,'Cash Flow'!B32-'Cash Flow'!B38*IF(Assumptions!$B$11=0,0,$B$47/Assumptions!$B$11)+IF(1=Assumptions!$B$48,$F$47,0))</f>
        <v>1050624</v>
      </c>
      <c r="J47" s="61" t="n">
        <f aca="false">IF(2&gt;Assumptions!$B$48,0,'Cash Flow'!C32-'Cash Flow'!C38*IF(Assumptions!$B$11=0,0,$B$47/Assumptions!$B$11)+IF(2=Assumptions!$B$48,$F$47,0))</f>
        <v>1117780.17</v>
      </c>
      <c r="K47" s="61" t="n">
        <f aca="false">IF(3&gt;Assumptions!$B$48,0,'Cash Flow'!D32-'Cash Flow'!D38*IF(Assumptions!$B$11=0,0,$B$47/Assumptions!$B$11)+IF(3=Assumptions!$B$48,$F$47,0))</f>
        <v>945313.325553581</v>
      </c>
      <c r="L47" s="61" t="n">
        <f aca="false">IF(4&gt;Assumptions!$B$48,0,'Cash Flow'!E32-'Cash Flow'!E38*IF(Assumptions!$B$11=0,0,$B$47/Assumptions!$B$11)+IF(4=Assumptions!$B$48,$F$47,0))</f>
        <v>1016728.52014408</v>
      </c>
      <c r="M47" s="61" t="n">
        <f aca="false">IF(5&gt;Assumptions!$B$48,0,'Cash Flow'!F32-'Cash Flow'!F38*IF(Assumptions!$B$11=0,0,$B$47/Assumptions!$B$11)+IF(5=Assumptions!$B$48,$F$47,0))</f>
        <v>15488341.2451611</v>
      </c>
      <c r="N47" s="61" t="n">
        <f aca="false">IF(6&gt;Assumptions!$B$48,0,'Cash Flow'!G32-'Cash Flow'!G38*IF(Assumptions!$B$11=0,0,$B$47/Assumptions!$B$11)+IF(6=Assumptions!$B$48,$F$47,0))</f>
        <v>0</v>
      </c>
      <c r="O47" s="61" t="n">
        <f aca="false">IF(7&gt;Assumptions!$B$48,0,'Cash Flow'!H32-'Cash Flow'!H38*IF(Assumptions!$B$11=0,0,$B$47/Assumptions!$B$11)+IF(7=Assumptions!$B$48,$F$47,0))</f>
        <v>0</v>
      </c>
      <c r="P47" s="61" t="n">
        <f aca="false">IF(8&gt;Assumptions!$B$48,0,'Cash Flow'!I32-'Cash Flow'!I38*IF(Assumptions!$B$11=0,0,$B$47/Assumptions!$B$11)+IF(8=Assumptions!$B$48,$F$47,0))</f>
        <v>0</v>
      </c>
      <c r="Q47" s="61" t="n">
        <f aca="false">IF(9&gt;Assumptions!$B$48,0,'Cash Flow'!J32-'Cash Flow'!J38*IF(Assumptions!$B$11=0,0,$B$47/Assumptions!$B$11)+IF(9=Assumptions!$B$48,$F$47,0))</f>
        <v>0</v>
      </c>
      <c r="R47" s="61" t="n">
        <f aca="false">IF(10&gt;Assumptions!$B$48,0,'Cash Flow'!K32-'Cash Flow'!K38*IF(Assumptions!$B$11=0,0,$B$47/Assumptions!$B$11)+IF(10=Assumptions!$B$48,$F$47,0))</f>
        <v>0</v>
      </c>
      <c r="S47" s="62" t="n">
        <f aca="false">IFERROR(IRR(H47:R47),"n/a")</f>
        <v>0.100925974459902</v>
      </c>
      <c r="T47" s="63" t="n">
        <f aca="false">IF($E$47=0,"n/a",SUMIF(I47:R47,"&gt;0")/$E$47)</f>
        <v>1.52630845168599</v>
      </c>
    </row>
    <row r="48" customFormat="false" ht="15" hidden="false" customHeight="false" outlineLevel="0" collapsed="false">
      <c r="A48" s="60" t="s">
        <v>272</v>
      </c>
      <c r="B48" s="61" t="n">
        <f aca="false">Assumptions!$B$11*(1+1*Assumptions!$B$61)</f>
        <v>30187500</v>
      </c>
      <c r="C48" s="62" t="n">
        <f aca="false">Assumptions!$B$49+1*Assumptions!$B$62/10000</f>
        <v>0.0825</v>
      </c>
      <c r="D48" s="61" t="n">
        <f aca="false">Assumptions!$B$39*$B$48</f>
        <v>18112500</v>
      </c>
      <c r="E48" s="61" t="n">
        <f aca="false">$B$48+$B$48*Assumptions!$B$13+Assumptions!$B$14+$D$48*Assumptions!$B$43-$D$48</f>
        <v>13458937.5</v>
      </c>
      <c r="F48" s="61" t="n">
        <f aca="false">IF($C$48=0,0,INDEX('Cash Flow'!$B$23:$L$23,Assumptions!$B$48+1)/$C$48)*(1-Assumptions!$B$50)-INDEX('Cash Flow'!$B$39:$L$39,Assumptions!$B$48)*IF(Assumptions!$B$11=0,0,$B$48/Assumptions!$B$11)</f>
        <v>13574039.9061466</v>
      </c>
      <c r="H48" s="61" t="n">
        <f aca="false">-$E$48</f>
        <v>-13458937.5</v>
      </c>
      <c r="I48" s="61" t="n">
        <f aca="false">IF(1&gt;Assumptions!$B$48,0,'Cash Flow'!B32-'Cash Flow'!B38*IF(Assumptions!$B$11=0,0,$B$48/Assumptions!$B$11)+IF(1=Assumptions!$B$48,$F$48,0))</f>
        <v>996717.75</v>
      </c>
      <c r="J48" s="61" t="n">
        <f aca="false">IF(2&gt;Assumptions!$B$48,0,'Cash Flow'!C32-'Cash Flow'!C38*IF(Assumptions!$B$11=0,0,$B$48/Assumptions!$B$11)+IF(2=Assumptions!$B$48,$F$48,0))</f>
        <v>1063873.92</v>
      </c>
      <c r="K48" s="61" t="n">
        <f aca="false">IF(3&gt;Assumptions!$B$48,0,'Cash Flow'!D32-'Cash Flow'!D38*IF(Assumptions!$B$11=0,0,$B$48/Assumptions!$B$11)+IF(3=Assumptions!$B$48,$F$48,0))</f>
        <v>879321.07345126</v>
      </c>
      <c r="L48" s="61" t="n">
        <f aca="false">IF(4&gt;Assumptions!$B$48,0,'Cash Flow'!E32-'Cash Flow'!E38*IF(Assumptions!$B$11=0,0,$B$48/Assumptions!$B$11)+IF(4=Assumptions!$B$48,$F$48,0))</f>
        <v>950736.26804176</v>
      </c>
      <c r="M48" s="61" t="n">
        <f aca="false">IF(5&gt;Assumptions!$B$48,0,'Cash Flow'!F32-'Cash Flow'!F38*IF(Assumptions!$B$11=0,0,$B$48/Assumptions!$B$11)+IF(5=Assumptions!$B$48,$F$48,0))</f>
        <v>14598420.3357056</v>
      </c>
      <c r="N48" s="61" t="n">
        <f aca="false">IF(6&gt;Assumptions!$B$48,0,'Cash Flow'!G32-'Cash Flow'!G38*IF(Assumptions!$B$11=0,0,$B$48/Assumptions!$B$11)+IF(6=Assumptions!$B$48,$F$48,0))</f>
        <v>0</v>
      </c>
      <c r="O48" s="61" t="n">
        <f aca="false">IF(7&gt;Assumptions!$B$48,0,'Cash Flow'!H32-'Cash Flow'!H38*IF(Assumptions!$B$11=0,0,$B$48/Assumptions!$B$11)+IF(7=Assumptions!$B$48,$F$48,0))</f>
        <v>0</v>
      </c>
      <c r="P48" s="61" t="n">
        <f aca="false">IF(8&gt;Assumptions!$B$48,0,'Cash Flow'!I32-'Cash Flow'!I38*IF(Assumptions!$B$11=0,0,$B$48/Assumptions!$B$11)+IF(8=Assumptions!$B$48,$F$48,0))</f>
        <v>0</v>
      </c>
      <c r="Q48" s="61" t="n">
        <f aca="false">IF(9&gt;Assumptions!$B$48,0,'Cash Flow'!J32-'Cash Flow'!J38*IF(Assumptions!$B$11=0,0,$B$48/Assumptions!$B$11)+IF(9=Assumptions!$B$48,$F$48,0))</f>
        <v>0</v>
      </c>
      <c r="R48" s="61" t="n">
        <f aca="false">IF(10&gt;Assumptions!$B$48,0,'Cash Flow'!K32-'Cash Flow'!K38*IF(Assumptions!$B$11=0,0,$B$48/Assumptions!$B$11)+IF(10=Assumptions!$B$48,$F$48,0))</f>
        <v>0</v>
      </c>
      <c r="S48" s="62" t="n">
        <f aca="false">IFERROR(IRR(H48:R48),"n/a")</f>
        <v>0.0745826854826081</v>
      </c>
      <c r="T48" s="63" t="n">
        <f aca="false">IF($E$48=0,"n/a",SUMIF(I48:R48,"&gt;0")/$E$48)</f>
        <v>1.37373914896318</v>
      </c>
    </row>
    <row r="49" customFormat="false" ht="15" hidden="false" customHeight="false" outlineLevel="0" collapsed="false">
      <c r="A49" s="60" t="s">
        <v>273</v>
      </c>
      <c r="B49" s="61" t="n">
        <f aca="false">Assumptions!$B$11*(1+2*Assumptions!$B$61)</f>
        <v>31625000</v>
      </c>
      <c r="C49" s="62" t="n">
        <f aca="false">Assumptions!$B$49+1*Assumptions!$B$62/10000</f>
        <v>0.0825</v>
      </c>
      <c r="D49" s="61" t="n">
        <f aca="false">Assumptions!$B$39*$B$49</f>
        <v>18975000</v>
      </c>
      <c r="E49" s="61" t="n">
        <f aca="false">$B$49+$B$49*Assumptions!$B$13+Assumptions!$B$14+$D$49*Assumptions!$B$43-$D$49</f>
        <v>14064125</v>
      </c>
      <c r="F49" s="61" t="n">
        <f aca="false">IF($C$49=0,0,INDEX('Cash Flow'!$B$23:$L$23,Assumptions!$B$48+1)/$C$49)*(1-Assumptions!$B$50)-INDEX('Cash Flow'!$B$39:$L$39,Assumptions!$B$48)*IF(Assumptions!$B$11=0,0,$B$49/Assumptions!$B$11)</f>
        <v>12750111.2487934</v>
      </c>
      <c r="H49" s="61" t="n">
        <f aca="false">-$E$49</f>
        <v>-14064125</v>
      </c>
      <c r="I49" s="61" t="n">
        <f aca="false">IF(1&gt;Assumptions!$B$48,0,'Cash Flow'!B32-'Cash Flow'!B38*IF(Assumptions!$B$11=0,0,$B$49/Assumptions!$B$11)+IF(1=Assumptions!$B$48,$F$49,0))</f>
        <v>942811.5</v>
      </c>
      <c r="J49" s="61" t="n">
        <f aca="false">IF(2&gt;Assumptions!$B$48,0,'Cash Flow'!C32-'Cash Flow'!C38*IF(Assumptions!$B$11=0,0,$B$49/Assumptions!$B$11)+IF(2=Assumptions!$B$48,$F$49,0))</f>
        <v>1009967.67</v>
      </c>
      <c r="K49" s="61" t="n">
        <f aca="false">IF(3&gt;Assumptions!$B$48,0,'Cash Flow'!D32-'Cash Flow'!D38*IF(Assumptions!$B$11=0,0,$B$49/Assumptions!$B$11)+IF(3=Assumptions!$B$48,$F$49,0))</f>
        <v>813328.821348939</v>
      </c>
      <c r="L49" s="61" t="n">
        <f aca="false">IF(4&gt;Assumptions!$B$48,0,'Cash Flow'!E32-'Cash Flow'!E38*IF(Assumptions!$B$11=0,0,$B$49/Assumptions!$B$11)+IF(4=Assumptions!$B$48,$F$49,0))</f>
        <v>884744.015939439</v>
      </c>
      <c r="M49" s="61" t="n">
        <f aca="false">IF(5&gt;Assumptions!$B$48,0,'Cash Flow'!F32-'Cash Flow'!F38*IF(Assumptions!$B$11=0,0,$B$49/Assumptions!$B$11)+IF(5=Assumptions!$B$48,$F$49,0))</f>
        <v>13708499.4262501</v>
      </c>
      <c r="N49" s="61" t="n">
        <f aca="false">IF(6&gt;Assumptions!$B$48,0,'Cash Flow'!G32-'Cash Flow'!G38*IF(Assumptions!$B$11=0,0,$B$49/Assumptions!$B$11)+IF(6=Assumptions!$B$48,$F$49,0))</f>
        <v>0</v>
      </c>
      <c r="O49" s="61" t="n">
        <f aca="false">IF(7&gt;Assumptions!$B$48,0,'Cash Flow'!H32-'Cash Flow'!H38*IF(Assumptions!$B$11=0,0,$B$49/Assumptions!$B$11)+IF(7=Assumptions!$B$48,$F$49,0))</f>
        <v>0</v>
      </c>
      <c r="P49" s="61" t="n">
        <f aca="false">IF(8&gt;Assumptions!$B$48,0,'Cash Flow'!I32-'Cash Flow'!I38*IF(Assumptions!$B$11=0,0,$B$49/Assumptions!$B$11)+IF(8=Assumptions!$B$48,$F$49,0))</f>
        <v>0</v>
      </c>
      <c r="Q49" s="61" t="n">
        <f aca="false">IF(9&gt;Assumptions!$B$48,0,'Cash Flow'!J32-'Cash Flow'!J38*IF(Assumptions!$B$11=0,0,$B$49/Assumptions!$B$11)+IF(9=Assumptions!$B$48,$F$49,0))</f>
        <v>0</v>
      </c>
      <c r="R49" s="61" t="n">
        <f aca="false">IF(10&gt;Assumptions!$B$48,0,'Cash Flow'!K32-'Cash Flow'!K38*IF(Assumptions!$B$11=0,0,$B$49/Assumptions!$B$11)+IF(10=Assumptions!$B$48,$F$49,0))</f>
        <v>0</v>
      </c>
      <c r="S49" s="62" t="n">
        <f aca="false">IFERROR(IRR(H49:R49),"n/a")</f>
        <v>0.0486601594698631</v>
      </c>
      <c r="T49" s="63" t="n">
        <f aca="false">IF($E$49=0,"n/a",SUMIF(I49:R49,"&gt;0")/$E$49)</f>
        <v>1.23430013836897</v>
      </c>
    </row>
    <row r="50" customFormat="false" ht="15" hidden="false" customHeight="false" outlineLevel="0" collapsed="false">
      <c r="A50" s="60" t="s">
        <v>274</v>
      </c>
      <c r="B50" s="61" t="n">
        <f aca="false">Assumptions!$B$11*(1+-2*Assumptions!$B$61)</f>
        <v>25875000</v>
      </c>
      <c r="C50" s="62" t="n">
        <f aca="false">Assumptions!$B$49+2*Assumptions!$B$62/10000</f>
        <v>0.085</v>
      </c>
      <c r="D50" s="61" t="n">
        <f aca="false">Assumptions!$B$39*$B$50</f>
        <v>15525000</v>
      </c>
      <c r="E50" s="61" t="n">
        <f aca="false">$B$50+$B$50*Assumptions!$B$13+Assumptions!$B$14+$D$50*Assumptions!$B$43-$D$50</f>
        <v>11643375</v>
      </c>
      <c r="F50" s="61" t="n">
        <f aca="false">IF($C$50=0,0,INDEX('Cash Flow'!$B$23:$L$23,Assumptions!$B$48+1)/$C$50)*(1-Assumptions!$B$50)-INDEX('Cash Flow'!$B$39:$L$39,Assumptions!$B$48)*IF(Assumptions!$B$11=0,0,$B$50/Assumptions!$B$11)</f>
        <v>15137692.2984836</v>
      </c>
      <c r="H50" s="61" t="n">
        <f aca="false">-$E$50</f>
        <v>-11643375</v>
      </c>
      <c r="I50" s="61" t="n">
        <f aca="false">IF(1&gt;Assumptions!$B$48,0,'Cash Flow'!B32-'Cash Flow'!B38*IF(Assumptions!$B$11=0,0,$B$50/Assumptions!$B$11)+IF(1=Assumptions!$B$48,$F$50,0))</f>
        <v>1158436.5</v>
      </c>
      <c r="J50" s="61" t="n">
        <f aca="false">IF(2&gt;Assumptions!$B$48,0,'Cash Flow'!C32-'Cash Flow'!C38*IF(Assumptions!$B$11=0,0,$B$50/Assumptions!$B$11)+IF(2=Assumptions!$B$48,$F$50,0))</f>
        <v>1225592.67</v>
      </c>
      <c r="K50" s="61" t="n">
        <f aca="false">IF(3&gt;Assumptions!$B$48,0,'Cash Flow'!D32-'Cash Flow'!D38*IF(Assumptions!$B$11=0,0,$B$50/Assumptions!$B$11)+IF(3=Assumptions!$B$48,$F$50,0))</f>
        <v>1077297.82975822</v>
      </c>
      <c r="L50" s="61" t="n">
        <f aca="false">IF(4&gt;Assumptions!$B$48,0,'Cash Flow'!E32-'Cash Flow'!E38*IF(Assumptions!$B$11=0,0,$B$50/Assumptions!$B$11)+IF(4=Assumptions!$B$48,$F$50,0))</f>
        <v>1148713.02434872</v>
      </c>
      <c r="M50" s="61" t="n">
        <f aca="false">IF(5&gt;Assumptions!$B$48,0,'Cash Flow'!F32-'Cash Flow'!F38*IF(Assumptions!$B$11=0,0,$B$50/Assumptions!$B$11)+IF(5=Assumptions!$B$48,$F$50,0))</f>
        <v>16360049.4843496</v>
      </c>
      <c r="N50" s="61" t="n">
        <f aca="false">IF(6&gt;Assumptions!$B$48,0,'Cash Flow'!G32-'Cash Flow'!G38*IF(Assumptions!$B$11=0,0,$B$50/Assumptions!$B$11)+IF(6=Assumptions!$B$48,$F$50,0))</f>
        <v>0</v>
      </c>
      <c r="O50" s="61" t="n">
        <f aca="false">IF(7&gt;Assumptions!$B$48,0,'Cash Flow'!H32-'Cash Flow'!H38*IF(Assumptions!$B$11=0,0,$B$50/Assumptions!$B$11)+IF(7=Assumptions!$B$48,$F$50,0))</f>
        <v>0</v>
      </c>
      <c r="P50" s="61" t="n">
        <f aca="false">IF(8&gt;Assumptions!$B$48,0,'Cash Flow'!I32-'Cash Flow'!I38*IF(Assumptions!$B$11=0,0,$B$50/Assumptions!$B$11)+IF(8=Assumptions!$B$48,$F$50,0))</f>
        <v>0</v>
      </c>
      <c r="Q50" s="61" t="n">
        <f aca="false">IF(9&gt;Assumptions!$B$48,0,'Cash Flow'!J32-'Cash Flow'!J38*IF(Assumptions!$B$11=0,0,$B$50/Assumptions!$B$11)+IF(9=Assumptions!$B$48,$F$50,0))</f>
        <v>0</v>
      </c>
      <c r="R50" s="61" t="n">
        <f aca="false">IF(10&gt;Assumptions!$B$48,0,'Cash Flow'!K32-'Cash Flow'!K38*IF(Assumptions!$B$11=0,0,$B$50/Assumptions!$B$11)+IF(10=Assumptions!$B$48,$F$50,0))</f>
        <v>0</v>
      </c>
      <c r="S50" s="62" t="n">
        <f aca="false">IFERROR(IRR(H50:R50),"n/a")</f>
        <v>0.14505049738297</v>
      </c>
      <c r="T50" s="63" t="n">
        <f aca="false">IF($E$50=0,"n/a",SUMIF(I50:R50,"&gt;0")/$E$50)</f>
        <v>1.80103187507544</v>
      </c>
    </row>
    <row r="51" customFormat="false" ht="15" hidden="false" customHeight="false" outlineLevel="0" collapsed="false">
      <c r="A51" s="60" t="s">
        <v>275</v>
      </c>
      <c r="B51" s="61" t="n">
        <f aca="false">Assumptions!$B$11*(1+-1*Assumptions!$B$61)</f>
        <v>27312500</v>
      </c>
      <c r="C51" s="62" t="n">
        <f aca="false">Assumptions!$B$49+2*Assumptions!$B$62/10000</f>
        <v>0.085</v>
      </c>
      <c r="D51" s="61" t="n">
        <f aca="false">Assumptions!$B$39*$B$51</f>
        <v>16387500</v>
      </c>
      <c r="E51" s="61" t="n">
        <f aca="false">$B$51+$B$51*Assumptions!$B$13+Assumptions!$B$14+$D$51*Assumptions!$B$43-$D$51</f>
        <v>12248562.5</v>
      </c>
      <c r="F51" s="61" t="n">
        <f aca="false">IF($C$51=0,0,INDEX('Cash Flow'!$B$23:$L$23,Assumptions!$B$48+1)/$C$51)*(1-Assumptions!$B$50)-INDEX('Cash Flow'!$B$39:$L$39,Assumptions!$B$48)*IF(Assumptions!$B$11=0,0,$B$51/Assumptions!$B$11)</f>
        <v>14313763.6411304</v>
      </c>
      <c r="H51" s="61" t="n">
        <f aca="false">-$E$51</f>
        <v>-12248562.5</v>
      </c>
      <c r="I51" s="61" t="n">
        <f aca="false">IF(1&gt;Assumptions!$B$48,0,'Cash Flow'!B32-'Cash Flow'!B38*IF(Assumptions!$B$11=0,0,$B$51/Assumptions!$B$11)+IF(1=Assumptions!$B$48,$F$51,0))</f>
        <v>1104530.25</v>
      </c>
      <c r="J51" s="61" t="n">
        <f aca="false">IF(2&gt;Assumptions!$B$48,0,'Cash Flow'!C32-'Cash Flow'!C38*IF(Assumptions!$B$11=0,0,$B$51/Assumptions!$B$11)+IF(2=Assumptions!$B$48,$F$51,0))</f>
        <v>1171686.42</v>
      </c>
      <c r="K51" s="61" t="n">
        <f aca="false">IF(3&gt;Assumptions!$B$48,0,'Cash Flow'!D32-'Cash Flow'!D38*IF(Assumptions!$B$11=0,0,$B$51/Assumptions!$B$11)+IF(3=Assumptions!$B$48,$F$51,0))</f>
        <v>1011305.5776559</v>
      </c>
      <c r="L51" s="61" t="n">
        <f aca="false">IF(4&gt;Assumptions!$B$48,0,'Cash Flow'!E32-'Cash Flow'!E38*IF(Assumptions!$B$11=0,0,$B$51/Assumptions!$B$11)+IF(4=Assumptions!$B$48,$F$51,0))</f>
        <v>1082720.7722464</v>
      </c>
      <c r="M51" s="61" t="n">
        <f aca="false">IF(5&gt;Assumptions!$B$48,0,'Cash Flow'!F32-'Cash Flow'!F38*IF(Assumptions!$B$11=0,0,$B$51/Assumptions!$B$11)+IF(5=Assumptions!$B$48,$F$51,0))</f>
        <v>15470128.5748941</v>
      </c>
      <c r="N51" s="61" t="n">
        <f aca="false">IF(6&gt;Assumptions!$B$48,0,'Cash Flow'!G32-'Cash Flow'!G38*IF(Assumptions!$B$11=0,0,$B$51/Assumptions!$B$11)+IF(6=Assumptions!$B$48,$F$51,0))</f>
        <v>0</v>
      </c>
      <c r="O51" s="61" t="n">
        <f aca="false">IF(7&gt;Assumptions!$B$48,0,'Cash Flow'!H32-'Cash Flow'!H38*IF(Assumptions!$B$11=0,0,$B$51/Assumptions!$B$11)+IF(7=Assumptions!$B$48,$F$51,0))</f>
        <v>0</v>
      </c>
      <c r="P51" s="61" t="n">
        <f aca="false">IF(8&gt;Assumptions!$B$48,0,'Cash Flow'!I32-'Cash Flow'!I38*IF(Assumptions!$B$11=0,0,$B$51/Assumptions!$B$11)+IF(8=Assumptions!$B$48,$F$51,0))</f>
        <v>0</v>
      </c>
      <c r="Q51" s="61" t="n">
        <f aca="false">IF(9&gt;Assumptions!$B$48,0,'Cash Flow'!J32-'Cash Flow'!J38*IF(Assumptions!$B$11=0,0,$B$51/Assumptions!$B$11)+IF(9=Assumptions!$B$48,$F$51,0))</f>
        <v>0</v>
      </c>
      <c r="R51" s="61" t="n">
        <f aca="false">IF(10&gt;Assumptions!$B$48,0,'Cash Flow'!K32-'Cash Flow'!K38*IF(Assumptions!$B$11=0,0,$B$51/Assumptions!$B$11)+IF(10=Assumptions!$B$48,$F$51,0))</f>
        <v>0</v>
      </c>
      <c r="S51" s="62" t="n">
        <f aca="false">IFERROR(IRR(H51:R51),"n/a")</f>
        <v>0.116940099776174</v>
      </c>
      <c r="T51" s="63" t="n">
        <f aca="false">IF($E$51=0,"n/a",SUMIF(I51:R51,"&gt;0")/$E$51)</f>
        <v>1.61981225101284</v>
      </c>
    </row>
    <row r="52" customFormat="false" ht="15" hidden="false" customHeight="false" outlineLevel="0" collapsed="false">
      <c r="A52" s="60" t="s">
        <v>276</v>
      </c>
      <c r="B52" s="61" t="n">
        <f aca="false">Assumptions!$B$11*(1+0*Assumptions!$B$61)</f>
        <v>28750000</v>
      </c>
      <c r="C52" s="62" t="n">
        <f aca="false">Assumptions!$B$49+2*Assumptions!$B$62/10000</f>
        <v>0.085</v>
      </c>
      <c r="D52" s="61" t="n">
        <f aca="false">Assumptions!$B$39*$B$52</f>
        <v>17250000</v>
      </c>
      <c r="E52" s="61" t="n">
        <f aca="false">$B$52+$B$52*Assumptions!$B$13+Assumptions!$B$14+$D$52*Assumptions!$B$43-$D$52</f>
        <v>12853750</v>
      </c>
      <c r="F52" s="61" t="n">
        <f aca="false">IF($C$52=0,0,INDEX('Cash Flow'!$B$23:$L$23,Assumptions!$B$48+1)/$C$52)*(1-Assumptions!$B$50)-INDEX('Cash Flow'!$B$39:$L$39,Assumptions!$B$48)*IF(Assumptions!$B$11=0,0,$B$52/Assumptions!$B$11)</f>
        <v>13489834.9837773</v>
      </c>
      <c r="H52" s="61" t="n">
        <f aca="false">-$E$52</f>
        <v>-12853750</v>
      </c>
      <c r="I52" s="61" t="n">
        <f aca="false">IF(1&gt;Assumptions!$B$48,0,'Cash Flow'!B32-'Cash Flow'!B38*IF(Assumptions!$B$11=0,0,$B$52/Assumptions!$B$11)+IF(1=Assumptions!$B$48,$F$52,0))</f>
        <v>1050624</v>
      </c>
      <c r="J52" s="61" t="n">
        <f aca="false">IF(2&gt;Assumptions!$B$48,0,'Cash Flow'!C32-'Cash Flow'!C38*IF(Assumptions!$B$11=0,0,$B$52/Assumptions!$B$11)+IF(2=Assumptions!$B$48,$F$52,0))</f>
        <v>1117780.17</v>
      </c>
      <c r="K52" s="61" t="n">
        <f aca="false">IF(3&gt;Assumptions!$B$48,0,'Cash Flow'!D32-'Cash Flow'!D38*IF(Assumptions!$B$11=0,0,$B$52/Assumptions!$B$11)+IF(3=Assumptions!$B$48,$F$52,0))</f>
        <v>945313.325553581</v>
      </c>
      <c r="L52" s="61" t="n">
        <f aca="false">IF(4&gt;Assumptions!$B$48,0,'Cash Flow'!E32-'Cash Flow'!E38*IF(Assumptions!$B$11=0,0,$B$52/Assumptions!$B$11)+IF(4=Assumptions!$B$48,$F$52,0))</f>
        <v>1016728.52014408</v>
      </c>
      <c r="M52" s="61" t="n">
        <f aca="false">IF(5&gt;Assumptions!$B$48,0,'Cash Flow'!F32-'Cash Flow'!F38*IF(Assumptions!$B$11=0,0,$B$52/Assumptions!$B$11)+IF(5=Assumptions!$B$48,$F$52,0))</f>
        <v>14580207.6654386</v>
      </c>
      <c r="N52" s="61" t="n">
        <f aca="false">IF(6&gt;Assumptions!$B$48,0,'Cash Flow'!G32-'Cash Flow'!G38*IF(Assumptions!$B$11=0,0,$B$52/Assumptions!$B$11)+IF(6=Assumptions!$B$48,$F$52,0))</f>
        <v>0</v>
      </c>
      <c r="O52" s="61" t="n">
        <f aca="false">IF(7&gt;Assumptions!$B$48,0,'Cash Flow'!H32-'Cash Flow'!H38*IF(Assumptions!$B$11=0,0,$B$52/Assumptions!$B$11)+IF(7=Assumptions!$B$48,$F$52,0))</f>
        <v>0</v>
      </c>
      <c r="P52" s="61" t="n">
        <f aca="false">IF(8&gt;Assumptions!$B$48,0,'Cash Flow'!I32-'Cash Flow'!I38*IF(Assumptions!$B$11=0,0,$B$52/Assumptions!$B$11)+IF(8=Assumptions!$B$48,$F$52,0))</f>
        <v>0</v>
      </c>
      <c r="Q52" s="61" t="n">
        <f aca="false">IF(9&gt;Assumptions!$B$48,0,'Cash Flow'!J32-'Cash Flow'!J38*IF(Assumptions!$B$11=0,0,$B$52/Assumptions!$B$11)+IF(9=Assumptions!$B$48,$F$52,0))</f>
        <v>0</v>
      </c>
      <c r="R52" s="61" t="n">
        <f aca="false">IF(10&gt;Assumptions!$B$48,0,'Cash Flow'!K32-'Cash Flow'!K38*IF(Assumptions!$B$11=0,0,$B$52/Assumptions!$B$11)+IF(10=Assumptions!$B$48,$F$52,0))</f>
        <v>0</v>
      </c>
      <c r="S52" s="62" t="n">
        <f aca="false">IFERROR(IRR(H52:R52),"n/a")</f>
        <v>0.0895531550149852</v>
      </c>
      <c r="T52" s="63" t="n">
        <f aca="false">IF($E$52=0,"n/a",SUMIF(I52:R52,"&gt;0")/$E$52)</f>
        <v>1.45565719584839</v>
      </c>
    </row>
    <row r="53" customFormat="false" ht="15" hidden="false" customHeight="false" outlineLevel="0" collapsed="false">
      <c r="A53" s="60" t="s">
        <v>277</v>
      </c>
      <c r="B53" s="61" t="n">
        <f aca="false">Assumptions!$B$11*(1+1*Assumptions!$B$61)</f>
        <v>30187500</v>
      </c>
      <c r="C53" s="62" t="n">
        <f aca="false">Assumptions!$B$49+2*Assumptions!$B$62/10000</f>
        <v>0.085</v>
      </c>
      <c r="D53" s="61" t="n">
        <f aca="false">Assumptions!$B$39*$B$53</f>
        <v>18112500</v>
      </c>
      <c r="E53" s="61" t="n">
        <f aca="false">$B$53+$B$53*Assumptions!$B$13+Assumptions!$B$14+$D$53*Assumptions!$B$43-$D$53</f>
        <v>13458937.5</v>
      </c>
      <c r="F53" s="61" t="n">
        <f aca="false">IF($C$53=0,0,INDEX('Cash Flow'!$B$23:$L$23,Assumptions!$B$48+1)/$C$53)*(1-Assumptions!$B$50)-INDEX('Cash Flow'!$B$39:$L$39,Assumptions!$B$48)*IF(Assumptions!$B$11=0,0,$B$53/Assumptions!$B$11)</f>
        <v>12665906.3264241</v>
      </c>
      <c r="H53" s="61" t="n">
        <f aca="false">-$E$53</f>
        <v>-13458937.5</v>
      </c>
      <c r="I53" s="61" t="n">
        <f aca="false">IF(1&gt;Assumptions!$B$48,0,'Cash Flow'!B32-'Cash Flow'!B38*IF(Assumptions!$B$11=0,0,$B$53/Assumptions!$B$11)+IF(1=Assumptions!$B$48,$F$53,0))</f>
        <v>996717.75</v>
      </c>
      <c r="J53" s="61" t="n">
        <f aca="false">IF(2&gt;Assumptions!$B$48,0,'Cash Flow'!C32-'Cash Flow'!C38*IF(Assumptions!$B$11=0,0,$B$53/Assumptions!$B$11)+IF(2=Assumptions!$B$48,$F$53,0))</f>
        <v>1063873.92</v>
      </c>
      <c r="K53" s="61" t="n">
        <f aca="false">IF(3&gt;Assumptions!$B$48,0,'Cash Flow'!D32-'Cash Flow'!D38*IF(Assumptions!$B$11=0,0,$B$53/Assumptions!$B$11)+IF(3=Assumptions!$B$48,$F$53,0))</f>
        <v>879321.07345126</v>
      </c>
      <c r="L53" s="61" t="n">
        <f aca="false">IF(4&gt;Assumptions!$B$48,0,'Cash Flow'!E32-'Cash Flow'!E38*IF(Assumptions!$B$11=0,0,$B$53/Assumptions!$B$11)+IF(4=Assumptions!$B$48,$F$53,0))</f>
        <v>950736.26804176</v>
      </c>
      <c r="M53" s="61" t="n">
        <f aca="false">IF(5&gt;Assumptions!$B$48,0,'Cash Flow'!F32-'Cash Flow'!F38*IF(Assumptions!$B$11=0,0,$B$53/Assumptions!$B$11)+IF(5=Assumptions!$B$48,$F$53,0))</f>
        <v>13690286.7559832</v>
      </c>
      <c r="N53" s="61" t="n">
        <f aca="false">IF(6&gt;Assumptions!$B$48,0,'Cash Flow'!G32-'Cash Flow'!G38*IF(Assumptions!$B$11=0,0,$B$53/Assumptions!$B$11)+IF(6=Assumptions!$B$48,$F$53,0))</f>
        <v>0</v>
      </c>
      <c r="O53" s="61" t="n">
        <f aca="false">IF(7&gt;Assumptions!$B$48,0,'Cash Flow'!H32-'Cash Flow'!H38*IF(Assumptions!$B$11=0,0,$B$53/Assumptions!$B$11)+IF(7=Assumptions!$B$48,$F$53,0))</f>
        <v>0</v>
      </c>
      <c r="P53" s="61" t="n">
        <f aca="false">IF(8&gt;Assumptions!$B$48,0,'Cash Flow'!I32-'Cash Flow'!I38*IF(Assumptions!$B$11=0,0,$B$53/Assumptions!$B$11)+IF(8=Assumptions!$B$48,$F$53,0))</f>
        <v>0</v>
      </c>
      <c r="Q53" s="61" t="n">
        <f aca="false">IF(9&gt;Assumptions!$B$48,0,'Cash Flow'!J32-'Cash Flow'!J38*IF(Assumptions!$B$11=0,0,$B$53/Assumptions!$B$11)+IF(9=Assumptions!$B$48,$F$53,0))</f>
        <v>0</v>
      </c>
      <c r="R53" s="61" t="n">
        <f aca="false">IF(10&gt;Assumptions!$B$48,0,'Cash Flow'!K32-'Cash Flow'!K38*IF(Assumptions!$B$11=0,0,$B$53/Assumptions!$B$11)+IF(10=Assumptions!$B$48,$F$53,0))</f>
        <v>0</v>
      </c>
      <c r="S53" s="62" t="n">
        <f aca="false">IFERROR(IRR(H53:R53),"n/a")</f>
        <v>0.0627003684764434</v>
      </c>
      <c r="T53" s="63" t="n">
        <f aca="false">IF($E$53=0,"n/a",SUMIF(I53:R53,"&gt;0")/$E$53)</f>
        <v>1.30626476031085</v>
      </c>
    </row>
    <row r="54" customFormat="false" ht="15" hidden="false" customHeight="false" outlineLevel="0" collapsed="false">
      <c r="A54" s="60" t="s">
        <v>278</v>
      </c>
      <c r="B54" s="61" t="n">
        <f aca="false">Assumptions!$B$11*(1+2*Assumptions!$B$61)</f>
        <v>31625000</v>
      </c>
      <c r="C54" s="62" t="n">
        <f aca="false">Assumptions!$B$49+2*Assumptions!$B$62/10000</f>
        <v>0.085</v>
      </c>
      <c r="D54" s="61" t="n">
        <f aca="false">Assumptions!$B$39*$B$54</f>
        <v>18975000</v>
      </c>
      <c r="E54" s="61" t="n">
        <f aca="false">$B$54+$B$54*Assumptions!$B$13+Assumptions!$B$14+$D$54*Assumptions!$B$43-$D$54</f>
        <v>14064125</v>
      </c>
      <c r="F54" s="61" t="n">
        <f aca="false">IF($C$54=0,0,INDEX('Cash Flow'!$B$23:$L$23,Assumptions!$B$48+1)/$C$54)*(1-Assumptions!$B$50)-INDEX('Cash Flow'!$B$39:$L$39,Assumptions!$B$48)*IF(Assumptions!$B$11=0,0,$B$54/Assumptions!$B$11)</f>
        <v>11841977.669071</v>
      </c>
      <c r="H54" s="61" t="n">
        <f aca="false">-$E$54</f>
        <v>-14064125</v>
      </c>
      <c r="I54" s="61" t="n">
        <f aca="false">IF(1&gt;Assumptions!$B$48,0,'Cash Flow'!B32-'Cash Flow'!B38*IF(Assumptions!$B$11=0,0,$B$54/Assumptions!$B$11)+IF(1=Assumptions!$B$48,$F$54,0))</f>
        <v>942811.5</v>
      </c>
      <c r="J54" s="61" t="n">
        <f aca="false">IF(2&gt;Assumptions!$B$48,0,'Cash Flow'!C32-'Cash Flow'!C38*IF(Assumptions!$B$11=0,0,$B$54/Assumptions!$B$11)+IF(2=Assumptions!$B$48,$F$54,0))</f>
        <v>1009967.67</v>
      </c>
      <c r="K54" s="61" t="n">
        <f aca="false">IF(3&gt;Assumptions!$B$48,0,'Cash Flow'!D32-'Cash Flow'!D38*IF(Assumptions!$B$11=0,0,$B$54/Assumptions!$B$11)+IF(3=Assumptions!$B$48,$F$54,0))</f>
        <v>813328.821348939</v>
      </c>
      <c r="L54" s="61" t="n">
        <f aca="false">IF(4&gt;Assumptions!$B$48,0,'Cash Flow'!E32-'Cash Flow'!E38*IF(Assumptions!$B$11=0,0,$B$54/Assumptions!$B$11)+IF(4=Assumptions!$B$48,$F$54,0))</f>
        <v>884744.015939439</v>
      </c>
      <c r="M54" s="61" t="n">
        <f aca="false">IF(5&gt;Assumptions!$B$48,0,'Cash Flow'!F32-'Cash Flow'!F38*IF(Assumptions!$B$11=0,0,$B$54/Assumptions!$B$11)+IF(5=Assumptions!$B$48,$F$54,0))</f>
        <v>12800365.8465277</v>
      </c>
      <c r="N54" s="61" t="n">
        <f aca="false">IF(6&gt;Assumptions!$B$48,0,'Cash Flow'!G32-'Cash Flow'!G38*IF(Assumptions!$B$11=0,0,$B$54/Assumptions!$B$11)+IF(6=Assumptions!$B$48,$F$54,0))</f>
        <v>0</v>
      </c>
      <c r="O54" s="61" t="n">
        <f aca="false">IF(7&gt;Assumptions!$B$48,0,'Cash Flow'!H32-'Cash Flow'!H38*IF(Assumptions!$B$11=0,0,$B$54/Assumptions!$B$11)+IF(7=Assumptions!$B$48,$F$54,0))</f>
        <v>0</v>
      </c>
      <c r="P54" s="61" t="n">
        <f aca="false">IF(8&gt;Assumptions!$B$48,0,'Cash Flow'!I32-'Cash Flow'!I38*IF(Assumptions!$B$11=0,0,$B$54/Assumptions!$B$11)+IF(8=Assumptions!$B$48,$F$54,0))</f>
        <v>0</v>
      </c>
      <c r="Q54" s="61" t="n">
        <f aca="false">IF(9&gt;Assumptions!$B$48,0,'Cash Flow'!J32-'Cash Flow'!J38*IF(Assumptions!$B$11=0,0,$B$54/Assumptions!$B$11)+IF(9=Assumptions!$B$48,$F$54,0))</f>
        <v>0</v>
      </c>
      <c r="R54" s="61" t="n">
        <f aca="false">IF(10&gt;Assumptions!$B$48,0,'Cash Flow'!K32-'Cash Flow'!K38*IF(Assumptions!$B$11=0,0,$B$54/Assumptions!$B$11)+IF(10=Assumptions!$B$48,$F$54,0))</f>
        <v>0</v>
      </c>
      <c r="S54" s="62" t="n">
        <f aca="false">IFERROR(IRR(H54:R54),"n/a")</f>
        <v>0.0362025759625035</v>
      </c>
      <c r="T54" s="63" t="n">
        <f aca="false">IF($E$54=0,"n/a",SUMIF(I54:R54,"&gt;0")/$E$54)</f>
        <v>1.16972921200687</v>
      </c>
    </row>
  </sheetData>
  <mergeCells count="2">
    <mergeCell ref="A1:L1"/>
    <mergeCell ref="A2:L2"/>
  </mergeCells>
  <printOptions headings="false" gridLines="false" gridLinesSet="true" horizontalCentered="false" verticalCentered="false"/>
  <pageMargins left="0.4" right="0.4" top="0.5" bottom="0.5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&amp;R&amp;"Arial,Regular"&amp;8 &amp;A  | 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2026-08-04T08:49:50Z</dcterms:created>
  <dc:creator>openpyxl</dc:creator>
  <dc:description/>
  <dc:language>en-US</dc:language>
  <cp:lastModifiedBy/>
  <dcterms:modified xsi:type="dcterms:W3CDTF">2026-08-04T08:49:50Z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